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L:\Raamatupidamine\Aruanded\Ad-hoc files_reports\Pillar III\Q4_2019\Esitmaine\"/>
    </mc:Choice>
  </mc:AlternateContent>
  <bookViews>
    <workbookView xWindow="28680" yWindow="-120" windowWidth="29040" windowHeight="15840" tabRatio="706" activeTab="1"/>
  </bookViews>
  <sheets>
    <sheet name="Key metric" sheetId="103" r:id="rId1"/>
    <sheet name="Content" sheetId="2" r:id="rId2"/>
    <sheet name="Capital position -&gt;" sheetId="3" r:id="rId3"/>
    <sheet name="1" sheetId="4" r:id="rId4"/>
    <sheet name="2" sheetId="100" r:id="rId5"/>
    <sheet name="3" sheetId="101" r:id="rId6"/>
    <sheet name="4" sheetId="7" r:id="rId7"/>
    <sheet name="5" sheetId="8" r:id="rId8"/>
    <sheet name="6" sheetId="9" r:id="rId9"/>
    <sheet name="Credit risk -&gt;" sheetId="11" r:id="rId10"/>
    <sheet name="7" sheetId="13" r:id="rId11"/>
    <sheet name="8" sheetId="14" r:id="rId12"/>
    <sheet name="9" sheetId="15" r:id="rId13"/>
    <sheet name="10" sheetId="16" r:id="rId14"/>
    <sheet name="11" sheetId="17" r:id="rId15"/>
    <sheet name="12" sheetId="18" r:id="rId16"/>
    <sheet name="13" sheetId="19" r:id="rId17"/>
    <sheet name="14" sheetId="20" r:id="rId18"/>
    <sheet name="15" sheetId="21" r:id="rId19"/>
    <sheet name="16" sheetId="22" r:id="rId20"/>
    <sheet name="17" sheetId="23" r:id="rId21"/>
    <sheet name="18" sheetId="24" r:id="rId22"/>
    <sheet name="19" sheetId="25" r:id="rId23"/>
    <sheet name="20" sheetId="26" r:id="rId24"/>
    <sheet name="21" sheetId="27" r:id="rId25"/>
    <sheet name="22" sheetId="28" r:id="rId26"/>
    <sheet name="23" sheetId="29" r:id="rId27"/>
    <sheet name="24" sheetId="30" r:id="rId28"/>
    <sheet name="25" sheetId="31" r:id="rId29"/>
    <sheet name="26" sheetId="35" r:id="rId30"/>
    <sheet name="27" sheetId="40" r:id="rId31"/>
    <sheet name="28" sheetId="41" r:id="rId32"/>
    <sheet name="29" sheetId="42" r:id="rId33"/>
    <sheet name="30" sheetId="43" r:id="rId34"/>
    <sheet name="31" sheetId="45" r:id="rId35"/>
    <sheet name="32" sheetId="47" r:id="rId36"/>
    <sheet name="CCR-&gt;" sheetId="48" r:id="rId37"/>
    <sheet name="33" sheetId="49" r:id="rId38"/>
    <sheet name="34" sheetId="50" r:id="rId39"/>
    <sheet name="35" sheetId="51" r:id="rId40"/>
    <sheet name="36" sheetId="52" r:id="rId41"/>
    <sheet name="37" sheetId="53" r:id="rId42"/>
    <sheet name="38" sheetId="54" r:id="rId43"/>
    <sheet name="39" sheetId="55" r:id="rId44"/>
    <sheet name="40" sheetId="56" r:id="rId45"/>
    <sheet name="41" sheetId="57" r:id="rId46"/>
    <sheet name="42" sheetId="58" r:id="rId47"/>
    <sheet name="Securitsation" sheetId="59" r:id="rId48"/>
    <sheet name="43" sheetId="60" r:id="rId49"/>
    <sheet name="MR-&gt;" sheetId="61" r:id="rId50"/>
    <sheet name="44" sheetId="62" r:id="rId51"/>
    <sheet name="45" sheetId="63" r:id="rId52"/>
    <sheet name="46" sheetId="64" r:id="rId53"/>
    <sheet name="47" sheetId="65" r:id="rId54"/>
    <sheet name="48" sheetId="66" r:id="rId55"/>
    <sheet name="49" sheetId="67" r:id="rId56"/>
    <sheet name="50" sheetId="68" r:id="rId57"/>
    <sheet name="51" sheetId="69" r:id="rId58"/>
    <sheet name="52" sheetId="70" r:id="rId59"/>
    <sheet name="53" sheetId="71" r:id="rId60"/>
    <sheet name="Operational risk" sheetId="72" r:id="rId61"/>
    <sheet name="54" sheetId="73" r:id="rId62"/>
    <sheet name="Liquidity" sheetId="74" r:id="rId63"/>
    <sheet name="55" sheetId="75" r:id="rId64"/>
    <sheet name="56" sheetId="102" r:id="rId65"/>
    <sheet name="57" sheetId="76" r:id="rId66"/>
    <sheet name="58" sheetId="77" r:id="rId67"/>
    <sheet name="59" sheetId="78" r:id="rId68"/>
    <sheet name="60" sheetId="79" r:id="rId69"/>
    <sheet name="61" sheetId="80" r:id="rId70"/>
    <sheet name="62" sheetId="81" r:id="rId71"/>
    <sheet name="63" sheetId="82" r:id="rId72"/>
    <sheet name="64" sheetId="83" r:id="rId73"/>
    <sheet name="65" sheetId="84" r:id="rId74"/>
    <sheet name="Other" sheetId="85" r:id="rId75"/>
    <sheet name="66" sheetId="86" r:id="rId76"/>
    <sheet name="67" sheetId="88" r:id="rId77"/>
    <sheet name="68" sheetId="89" r:id="rId78"/>
    <sheet name="69" sheetId="90" r:id="rId79"/>
    <sheet name="70" sheetId="93" r:id="rId80"/>
    <sheet name="71" sheetId="95" r:id="rId81"/>
    <sheet name="72" sheetId="104" r:id="rId82"/>
    <sheet name="73" sheetId="105" r:id="rId83"/>
    <sheet name="74" sheetId="106" r:id="rId84"/>
  </sheets>
  <definedNames>
    <definedName name="_xlnm._FilterDatabase" localSheetId="1" hidden="1">Content!$A$2:$B$2</definedName>
    <definedName name="_xlnm.Print_Area" localSheetId="4">'2'!$A$1:$P$51</definedName>
    <definedName name="_xlnm.Print_Area" localSheetId="5">'3'!$A$1:$I$36</definedName>
    <definedName name="_xlnm.Print_Area" localSheetId="64">'56'!$A$1:$L$40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1" i="40" l="1"/>
  <c r="B40" i="40"/>
  <c r="B39" i="40"/>
  <c r="B20" i="40"/>
  <c r="B21" i="40" l="1"/>
  <c r="F11" i="35" l="1"/>
  <c r="E11" i="35"/>
  <c r="M10" i="43" l="1"/>
  <c r="M11" i="43"/>
  <c r="M12" i="43"/>
  <c r="M13" i="43"/>
  <c r="M9" i="43"/>
  <c r="J10" i="43"/>
  <c r="J11" i="43"/>
  <c r="J12" i="43"/>
  <c r="J13" i="43"/>
  <c r="J9" i="43"/>
  <c r="D10" i="43"/>
  <c r="D11" i="43"/>
  <c r="D12" i="43"/>
  <c r="D13" i="43"/>
  <c r="D9" i="43"/>
  <c r="R14" i="43"/>
  <c r="Q14" i="43"/>
  <c r="P14" i="43"/>
  <c r="O14" i="43"/>
  <c r="N14" i="43"/>
  <c r="M14" i="43"/>
  <c r="L14" i="43"/>
  <c r="K14" i="43"/>
  <c r="J14" i="43"/>
  <c r="I14" i="43"/>
  <c r="H14" i="43"/>
  <c r="G14" i="43"/>
  <c r="F14" i="43"/>
  <c r="E14" i="43"/>
  <c r="D14" i="43" l="1"/>
  <c r="D50" i="40"/>
  <c r="D48" i="40"/>
  <c r="C47" i="40"/>
  <c r="D47" i="40" s="1"/>
  <c r="D46" i="40"/>
  <c r="D45" i="40"/>
  <c r="D44" i="40"/>
  <c r="D43" i="40"/>
  <c r="D42" i="40"/>
  <c r="D41" i="40"/>
  <c r="C40" i="40"/>
  <c r="C39" i="40" s="1"/>
  <c r="D37" i="40"/>
  <c r="D36" i="40"/>
  <c r="D35" i="40"/>
  <c r="D24" i="40"/>
  <c r="D22" i="40"/>
  <c r="C21" i="40"/>
  <c r="D21" i="40" s="1"/>
  <c r="D20" i="40"/>
  <c r="D19" i="40"/>
  <c r="D18" i="40"/>
  <c r="D17" i="40"/>
  <c r="D16" i="40"/>
  <c r="D15" i="40"/>
  <c r="D14" i="40"/>
  <c r="D13" i="40"/>
  <c r="D12" i="40"/>
  <c r="C11" i="40"/>
  <c r="D8" i="40"/>
  <c r="D7" i="40"/>
  <c r="D6" i="40"/>
  <c r="C51" i="40" l="1"/>
  <c r="D51" i="40" s="1"/>
  <c r="D39" i="40"/>
  <c r="C10" i="40"/>
  <c r="D40" i="40"/>
  <c r="C25" i="40" l="1"/>
  <c r="E9" i="58" l="1"/>
  <c r="C9" i="58"/>
  <c r="E8" i="58"/>
  <c r="E10" i="58" s="1"/>
  <c r="C8" i="58"/>
  <c r="C10" i="58" s="1"/>
  <c r="L32" i="51"/>
  <c r="G31" i="51"/>
  <c r="L14" i="51"/>
  <c r="G13" i="51"/>
  <c r="I32" i="49"/>
  <c r="H32" i="49"/>
  <c r="E32" i="49"/>
  <c r="D32" i="49"/>
  <c r="I22" i="49"/>
  <c r="H22" i="49"/>
  <c r="E22" i="49"/>
  <c r="D22" i="49"/>
  <c r="I17" i="49"/>
  <c r="E17" i="49"/>
  <c r="D17" i="49"/>
  <c r="H17" i="49" s="1"/>
  <c r="I7" i="49"/>
  <c r="H7" i="49"/>
  <c r="E7" i="49"/>
  <c r="D7" i="49"/>
  <c r="F11" i="79" l="1"/>
  <c r="F16" i="79" s="1"/>
  <c r="F20" i="79" s="1"/>
  <c r="E11" i="79"/>
  <c r="E16" i="79" s="1"/>
  <c r="E20" i="79" s="1"/>
  <c r="F6" i="79"/>
  <c r="E6" i="79"/>
  <c r="D6" i="79"/>
  <c r="D16" i="79" s="1"/>
  <c r="D20" i="79" s="1"/>
  <c r="C6" i="79"/>
  <c r="C16" i="79" s="1"/>
  <c r="C20" i="79" s="1"/>
  <c r="B6" i="79"/>
  <c r="B16" i="79" s="1"/>
  <c r="B20" i="79" s="1"/>
  <c r="L42" i="102"/>
  <c r="G21" i="95" l="1"/>
  <c r="F15" i="95"/>
  <c r="E15" i="95"/>
  <c r="D15" i="95"/>
  <c r="C15" i="95"/>
  <c r="B15" i="95"/>
  <c r="F14" i="95"/>
  <c r="E14" i="95"/>
  <c r="D14" i="95"/>
  <c r="C14" i="95"/>
  <c r="B14" i="95"/>
  <c r="F13" i="95"/>
  <c r="E13" i="95"/>
  <c r="D13" i="95"/>
  <c r="C13" i="95"/>
  <c r="B13" i="95"/>
  <c r="F12" i="95"/>
  <c r="E12" i="95"/>
  <c r="D12" i="95"/>
  <c r="C12" i="95"/>
  <c r="B12" i="95"/>
  <c r="F11" i="95"/>
  <c r="E11" i="95"/>
  <c r="D11" i="95"/>
  <c r="C11" i="95"/>
  <c r="B11" i="95"/>
  <c r="F10" i="95"/>
  <c r="E10" i="95"/>
  <c r="D10" i="95"/>
  <c r="B10" i="95"/>
  <c r="F9" i="95"/>
  <c r="D9" i="95"/>
  <c r="B9" i="95"/>
  <c r="F8" i="95"/>
  <c r="D8" i="95"/>
  <c r="B8" i="95"/>
  <c r="C13" i="90"/>
  <c r="C24" i="90"/>
  <c r="F38" i="31"/>
  <c r="F37" i="31"/>
  <c r="F36" i="31"/>
  <c r="F35" i="31"/>
  <c r="F34" i="31"/>
  <c r="F33" i="31"/>
  <c r="F32" i="31"/>
  <c r="F31" i="31"/>
  <c r="F30" i="31"/>
  <c r="F29" i="31"/>
  <c r="F28" i="31"/>
  <c r="F27" i="31"/>
  <c r="F19" i="31"/>
  <c r="F18" i="31"/>
  <c r="F17" i="31"/>
  <c r="F16" i="31"/>
  <c r="F15" i="31"/>
  <c r="F14" i="31"/>
  <c r="F13" i="31"/>
  <c r="F12" i="31"/>
  <c r="F11" i="31"/>
  <c r="F10" i="31"/>
  <c r="F9" i="31"/>
  <c r="F8" i="31"/>
  <c r="M39" i="23"/>
  <c r="L39" i="23"/>
  <c r="K39" i="23"/>
  <c r="I39" i="23"/>
  <c r="H39" i="23"/>
  <c r="G39" i="23"/>
  <c r="C39" i="23"/>
  <c r="L38" i="23"/>
  <c r="G38" i="23"/>
  <c r="C38" i="23"/>
  <c r="L37" i="23"/>
  <c r="G37" i="23"/>
  <c r="M36" i="23"/>
  <c r="L36" i="23"/>
  <c r="R36" i="23" s="1"/>
  <c r="R35" i="23"/>
  <c r="H35" i="23"/>
  <c r="K34" i="23"/>
  <c r="R34" i="23" s="1"/>
  <c r="L33" i="23"/>
  <c r="R33" i="23" s="1"/>
  <c r="I32" i="23"/>
  <c r="R32" i="23" s="1"/>
  <c r="G32" i="23"/>
  <c r="C31" i="23"/>
  <c r="R31" i="23" s="1"/>
  <c r="R30" i="23"/>
  <c r="G30" i="23"/>
  <c r="G29" i="23"/>
  <c r="R29" i="23" s="1"/>
  <c r="R28" i="23"/>
  <c r="G28" i="23"/>
  <c r="C28" i="23"/>
  <c r="M19" i="23"/>
  <c r="L19" i="23"/>
  <c r="K19" i="23"/>
  <c r="I19" i="23"/>
  <c r="H19" i="23"/>
  <c r="G19" i="23"/>
  <c r="C19" i="23"/>
  <c r="L18" i="23"/>
  <c r="G18" i="23"/>
  <c r="C18" i="23"/>
  <c r="R18" i="23" s="1"/>
  <c r="L17" i="23"/>
  <c r="G17" i="23"/>
  <c r="M16" i="23"/>
  <c r="L16" i="23"/>
  <c r="H15" i="23"/>
  <c r="R15" i="23" s="1"/>
  <c r="K14" i="23"/>
  <c r="R14" i="23" s="1"/>
  <c r="L13" i="23"/>
  <c r="R13" i="23" s="1"/>
  <c r="I12" i="23"/>
  <c r="R12" i="23" s="1"/>
  <c r="G12" i="23"/>
  <c r="C11" i="23"/>
  <c r="R11" i="23" s="1"/>
  <c r="G10" i="23"/>
  <c r="R10" i="23" s="1"/>
  <c r="R9" i="23"/>
  <c r="G9" i="23"/>
  <c r="G8" i="23"/>
  <c r="C8" i="23"/>
  <c r="H30" i="22"/>
  <c r="H11" i="22"/>
  <c r="H9" i="22"/>
  <c r="F16" i="9"/>
  <c r="D15" i="9"/>
  <c r="C15" i="9"/>
  <c r="D13" i="9"/>
  <c r="F13" i="9" s="1"/>
  <c r="C13" i="9"/>
  <c r="E13" i="9" s="1"/>
  <c r="E11" i="9"/>
  <c r="F11" i="9"/>
  <c r="D8" i="9"/>
  <c r="F8" i="9" s="1"/>
  <c r="R8" i="23" l="1"/>
  <c r="R17" i="23"/>
  <c r="R38" i="23"/>
  <c r="R39" i="23"/>
  <c r="R19" i="23"/>
  <c r="R16" i="23"/>
  <c r="R37" i="23"/>
  <c r="C8" i="90"/>
  <c r="H8" i="22"/>
  <c r="H13" i="22"/>
  <c r="H17" i="22"/>
  <c r="H25" i="22"/>
  <c r="H29" i="22"/>
  <c r="H33" i="22"/>
  <c r="F12" i="9"/>
  <c r="H14" i="22"/>
  <c r="H18" i="22"/>
  <c r="H26" i="22"/>
  <c r="F9" i="9"/>
  <c r="F14" i="9"/>
  <c r="F15" i="9" s="1"/>
  <c r="H10" i="22"/>
  <c r="H15" i="22"/>
  <c r="H19" i="22"/>
  <c r="H27" i="22"/>
  <c r="H31" i="22"/>
  <c r="H35" i="22"/>
  <c r="H34" i="22"/>
  <c r="H12" i="22"/>
  <c r="H16" i="22"/>
  <c r="H24" i="22"/>
  <c r="H28" i="22"/>
  <c r="H32" i="22"/>
  <c r="C8" i="9"/>
  <c r="E8" i="9" s="1"/>
  <c r="E7" i="9"/>
  <c r="E9" i="9"/>
  <c r="E12" i="9"/>
  <c r="F7" i="9"/>
  <c r="E14" i="9"/>
  <c r="E15" i="9" s="1"/>
  <c r="C42" i="19"/>
  <c r="D40" i="19"/>
  <c r="D15" i="19"/>
  <c r="C17" i="19"/>
  <c r="C17" i="18"/>
  <c r="C18" i="18" s="1"/>
  <c r="C16" i="18"/>
  <c r="H17" i="18"/>
  <c r="H16" i="18"/>
  <c r="D18" i="18"/>
  <c r="E18" i="18"/>
  <c r="F18" i="18"/>
  <c r="G18" i="18"/>
  <c r="B18" i="18"/>
  <c r="H18" i="18" l="1"/>
  <c r="B8" i="18" l="1"/>
  <c r="B10" i="18" s="1"/>
  <c r="C9" i="18"/>
  <c r="H9" i="18"/>
  <c r="D10" i="18"/>
  <c r="E10" i="18"/>
  <c r="F10" i="18"/>
  <c r="G10" i="18"/>
  <c r="H45" i="17"/>
  <c r="F54" i="17"/>
  <c r="G54" i="17"/>
  <c r="H53" i="17"/>
  <c r="H51" i="17"/>
  <c r="H46" i="17"/>
  <c r="H42" i="17"/>
  <c r="H37" i="17"/>
  <c r="F28" i="17"/>
  <c r="G28" i="17"/>
  <c r="H19" i="17"/>
  <c r="H24" i="17"/>
  <c r="H23" i="17"/>
  <c r="H20" i="17"/>
  <c r="H11" i="17"/>
  <c r="I145" i="16"/>
  <c r="I144" i="16"/>
  <c r="I143" i="16"/>
  <c r="I142" i="16"/>
  <c r="I141" i="16"/>
  <c r="I140" i="16"/>
  <c r="I136" i="16"/>
  <c r="I135" i="16"/>
  <c r="I134" i="16"/>
  <c r="I133" i="16"/>
  <c r="I132" i="16"/>
  <c r="I122" i="16"/>
  <c r="I123" i="16"/>
  <c r="I121" i="16"/>
  <c r="H15" i="17" l="1"/>
  <c r="I125" i="16"/>
  <c r="H13" i="17"/>
  <c r="H22" i="17"/>
  <c r="H17" i="17"/>
  <c r="H12" i="17"/>
  <c r="H21" i="17"/>
  <c r="H26" i="17"/>
  <c r="H27" i="17"/>
  <c r="C28" i="17"/>
  <c r="H10" i="17"/>
  <c r="H18" i="17"/>
  <c r="H16" i="17"/>
  <c r="I128" i="16"/>
  <c r="H38" i="17"/>
  <c r="H47" i="17"/>
  <c r="H40" i="17"/>
  <c r="H49" i="17"/>
  <c r="H41" i="17"/>
  <c r="H50" i="17"/>
  <c r="H43" i="17"/>
  <c r="H35" i="17"/>
  <c r="H52" i="17"/>
  <c r="I127" i="16"/>
  <c r="D28" i="17"/>
  <c r="D54" i="17"/>
  <c r="H25" i="17"/>
  <c r="H39" i="17"/>
  <c r="H48" i="17"/>
  <c r="C54" i="17"/>
  <c r="H9" i="17"/>
  <c r="I126" i="16"/>
  <c r="I124" i="16"/>
  <c r="H14" i="17"/>
  <c r="H44" i="17"/>
  <c r="H36" i="17"/>
  <c r="E54" i="17"/>
  <c r="E28" i="17"/>
  <c r="F51" i="16"/>
  <c r="B28" i="17"/>
  <c r="H8" i="18"/>
  <c r="H10" i="18" s="1"/>
  <c r="C8" i="18"/>
  <c r="C10" i="18" s="1"/>
  <c r="B54" i="17"/>
  <c r="H54" i="17" l="1"/>
  <c r="H28" i="17"/>
  <c r="I63" i="16"/>
  <c r="I64" i="16"/>
  <c r="I65" i="16"/>
  <c r="I66" i="16"/>
  <c r="I67" i="16"/>
  <c r="I62" i="16"/>
  <c r="I58" i="16"/>
  <c r="I57" i="16"/>
  <c r="I56" i="16"/>
  <c r="I55" i="16"/>
  <c r="I45" i="16"/>
  <c r="I44" i="16"/>
  <c r="I43" i="16"/>
  <c r="D19" i="16"/>
  <c r="I146" i="16"/>
  <c r="H146" i="16"/>
  <c r="G146" i="16"/>
  <c r="F146" i="16"/>
  <c r="E146" i="16"/>
  <c r="D146" i="16"/>
  <c r="C146" i="16"/>
  <c r="I137" i="16"/>
  <c r="H137" i="16"/>
  <c r="G137" i="16"/>
  <c r="F137" i="16"/>
  <c r="E137" i="16"/>
  <c r="D137" i="16"/>
  <c r="C137" i="16"/>
  <c r="I129" i="16"/>
  <c r="H129" i="16"/>
  <c r="G129" i="16"/>
  <c r="F129" i="16"/>
  <c r="E129" i="16"/>
  <c r="D129" i="16"/>
  <c r="D28" i="20" s="1"/>
  <c r="C129" i="16"/>
  <c r="I115" i="16"/>
  <c r="H115" i="16"/>
  <c r="G115" i="16"/>
  <c r="F115" i="16"/>
  <c r="E115" i="16"/>
  <c r="D115" i="16"/>
  <c r="C115" i="16"/>
  <c r="I106" i="16"/>
  <c r="H106" i="16"/>
  <c r="G106" i="16"/>
  <c r="F106" i="16"/>
  <c r="E106" i="16"/>
  <c r="D106" i="16"/>
  <c r="C106" i="16"/>
  <c r="I98" i="16"/>
  <c r="H98" i="16"/>
  <c r="G98" i="16"/>
  <c r="F98" i="16"/>
  <c r="E98" i="16"/>
  <c r="D98" i="16"/>
  <c r="C98" i="16"/>
  <c r="H68" i="16"/>
  <c r="G68" i="16"/>
  <c r="F68" i="16"/>
  <c r="E68" i="16"/>
  <c r="D68" i="16"/>
  <c r="H59" i="16"/>
  <c r="G59" i="16"/>
  <c r="F59" i="16"/>
  <c r="E59" i="16"/>
  <c r="D59" i="16"/>
  <c r="H51" i="16"/>
  <c r="G51" i="16"/>
  <c r="E51" i="16"/>
  <c r="C19" i="16"/>
  <c r="E19" i="16"/>
  <c r="F19" i="16"/>
  <c r="G19" i="16"/>
  <c r="H19" i="16"/>
  <c r="I19" i="16"/>
  <c r="D36" i="16"/>
  <c r="E36" i="16"/>
  <c r="F36" i="16"/>
  <c r="G36" i="16"/>
  <c r="H36" i="16"/>
  <c r="I36" i="16"/>
  <c r="C36" i="16"/>
  <c r="D27" i="16"/>
  <c r="E27" i="16"/>
  <c r="F27" i="16"/>
  <c r="G27" i="16"/>
  <c r="H27" i="16"/>
  <c r="I27" i="16"/>
  <c r="C27" i="16"/>
  <c r="D51" i="16" l="1"/>
  <c r="D12" i="20" s="1"/>
  <c r="I68" i="16"/>
  <c r="I46" i="16"/>
  <c r="I50" i="16"/>
  <c r="D7" i="20"/>
  <c r="D27" i="20"/>
  <c r="C51" i="16"/>
  <c r="I47" i="16"/>
  <c r="I48" i="16"/>
  <c r="I49" i="16"/>
  <c r="C59" i="16"/>
  <c r="I54" i="16"/>
  <c r="I59" i="16" s="1"/>
  <c r="C68" i="16"/>
  <c r="I51" i="16" l="1"/>
  <c r="D11" i="20"/>
  <c r="C10" i="93"/>
  <c r="D10" i="93"/>
  <c r="E10" i="93"/>
  <c r="B10" i="93"/>
  <c r="E32" i="42"/>
  <c r="F32" i="42"/>
  <c r="G32" i="42"/>
  <c r="H32" i="42"/>
  <c r="I32" i="42"/>
  <c r="N32" i="42"/>
  <c r="D32" i="42"/>
  <c r="C32" i="42"/>
  <c r="E42" i="13"/>
  <c r="E43" i="13"/>
  <c r="E21" i="13"/>
  <c r="E19" i="13"/>
  <c r="K50" i="15"/>
  <c r="G53" i="15"/>
  <c r="G55" i="15" s="1"/>
  <c r="K51" i="15"/>
  <c r="K52" i="15"/>
  <c r="E53" i="15"/>
  <c r="E55" i="15" s="1"/>
  <c r="I53" i="15"/>
  <c r="I55" i="15" s="1"/>
  <c r="J53" i="15"/>
  <c r="J55" i="15" s="1"/>
  <c r="F53" i="15"/>
  <c r="F55" i="15" s="1"/>
  <c r="K48" i="15"/>
  <c r="B29" i="86" l="1"/>
  <c r="B48" i="86"/>
  <c r="D53" i="15"/>
  <c r="D55" i="15" s="1"/>
  <c r="C53" i="15"/>
  <c r="C55" i="15" s="1"/>
  <c r="H53" i="15"/>
  <c r="H55" i="15" s="1"/>
  <c r="K49" i="15"/>
  <c r="J27" i="15"/>
  <c r="K21" i="15"/>
  <c r="K22" i="15"/>
  <c r="K23" i="15"/>
  <c r="K24" i="15"/>
  <c r="K20" i="15"/>
  <c r="D25" i="15"/>
  <c r="D27" i="15" s="1"/>
  <c r="E25" i="15"/>
  <c r="E27" i="15" s="1"/>
  <c r="F25" i="15"/>
  <c r="F27" i="15" s="1"/>
  <c r="G25" i="15"/>
  <c r="G27" i="15" s="1"/>
  <c r="H25" i="15"/>
  <c r="H27" i="15" s="1"/>
  <c r="I25" i="15"/>
  <c r="I27" i="15" s="1"/>
  <c r="J25" i="15"/>
  <c r="C25" i="15"/>
  <c r="C27" i="15" s="1"/>
  <c r="K53" i="15" l="1"/>
  <c r="K55" i="15" s="1"/>
  <c r="K25" i="15"/>
  <c r="K27" i="15" s="1"/>
  <c r="K46" i="14"/>
  <c r="N46" i="14"/>
  <c r="U40" i="14"/>
  <c r="T44" i="14"/>
  <c r="T46" i="14" s="1"/>
  <c r="S44" i="14"/>
  <c r="S46" i="14" s="1"/>
  <c r="R44" i="14"/>
  <c r="R46" i="14" s="1"/>
  <c r="Q44" i="14"/>
  <c r="Q46" i="14" s="1"/>
  <c r="P44" i="14"/>
  <c r="P46" i="14" s="1"/>
  <c r="O44" i="14"/>
  <c r="O46" i="14" s="1"/>
  <c r="N44" i="14"/>
  <c r="M44" i="14"/>
  <c r="M46" i="14" s="1"/>
  <c r="L44" i="14"/>
  <c r="L46" i="14" s="1"/>
  <c r="K44" i="14"/>
  <c r="J44" i="14"/>
  <c r="J46" i="14" s="1"/>
  <c r="I44" i="14"/>
  <c r="I46" i="14" s="1"/>
  <c r="H44" i="14"/>
  <c r="H46" i="14" s="1"/>
  <c r="G44" i="14"/>
  <c r="G46" i="14" s="1"/>
  <c r="F44" i="14"/>
  <c r="F46" i="14" s="1"/>
  <c r="E44" i="14"/>
  <c r="E46" i="14" s="1"/>
  <c r="D44" i="14"/>
  <c r="D46" i="14" s="1"/>
  <c r="C44" i="14"/>
  <c r="C46" i="14" s="1"/>
  <c r="B44" i="14"/>
  <c r="B46" i="14" s="1"/>
  <c r="U43" i="14"/>
  <c r="U42" i="14"/>
  <c r="U23" i="14"/>
  <c r="U21" i="14"/>
  <c r="U20" i="14"/>
  <c r="U19" i="14"/>
  <c r="U18" i="14"/>
  <c r="U17" i="14"/>
  <c r="C22" i="14"/>
  <c r="C24" i="14" s="1"/>
  <c r="D22" i="14"/>
  <c r="D24" i="14" s="1"/>
  <c r="E22" i="14"/>
  <c r="E24" i="14" s="1"/>
  <c r="F22" i="14"/>
  <c r="F24" i="14" s="1"/>
  <c r="G22" i="14"/>
  <c r="G24" i="14" s="1"/>
  <c r="H22" i="14"/>
  <c r="H24" i="14" s="1"/>
  <c r="I22" i="14"/>
  <c r="I24" i="14" s="1"/>
  <c r="J22" i="14"/>
  <c r="J24" i="14" s="1"/>
  <c r="K22" i="14"/>
  <c r="K24" i="14" s="1"/>
  <c r="L22" i="14"/>
  <c r="L24" i="14" s="1"/>
  <c r="M22" i="14"/>
  <c r="M24" i="14" s="1"/>
  <c r="N22" i="14"/>
  <c r="N24" i="14" s="1"/>
  <c r="O22" i="14"/>
  <c r="O24" i="14" s="1"/>
  <c r="P22" i="14"/>
  <c r="P24" i="14" s="1"/>
  <c r="Q22" i="14"/>
  <c r="Q24" i="14" s="1"/>
  <c r="R22" i="14"/>
  <c r="R24" i="14" s="1"/>
  <c r="S22" i="14"/>
  <c r="S24" i="14" s="1"/>
  <c r="T22" i="14"/>
  <c r="T24" i="14" s="1"/>
  <c r="B22" i="14"/>
  <c r="B24" i="14" s="1"/>
  <c r="C13" i="14"/>
  <c r="D13" i="14"/>
  <c r="E13" i="14"/>
  <c r="F13" i="14"/>
  <c r="G13" i="14"/>
  <c r="H13" i="14"/>
  <c r="I13" i="14"/>
  <c r="J13" i="14"/>
  <c r="K13" i="14"/>
  <c r="L13" i="14"/>
  <c r="M13" i="14"/>
  <c r="N13" i="14"/>
  <c r="O13" i="14"/>
  <c r="P13" i="14"/>
  <c r="Q13" i="14"/>
  <c r="R13" i="14"/>
  <c r="S13" i="14"/>
  <c r="T13" i="14"/>
  <c r="U12" i="14"/>
  <c r="U11" i="14"/>
  <c r="U10" i="14"/>
  <c r="U9" i="14"/>
  <c r="U8" i="14"/>
  <c r="B13" i="14"/>
  <c r="E47" i="13"/>
  <c r="E49" i="13" s="1"/>
  <c r="D47" i="13"/>
  <c r="D49" i="13" s="1"/>
  <c r="C47" i="13"/>
  <c r="C49" i="13" s="1"/>
  <c r="F46" i="13"/>
  <c r="F45" i="13"/>
  <c r="F44" i="13"/>
  <c r="F43" i="13"/>
  <c r="F42" i="13"/>
  <c r="U46" i="14" l="1"/>
  <c r="F49" i="13"/>
  <c r="U44" i="14"/>
  <c r="U13" i="14"/>
  <c r="U22" i="14"/>
  <c r="U24" i="14"/>
  <c r="F47" i="13"/>
  <c r="E23" i="13" l="1"/>
  <c r="D23" i="13"/>
  <c r="C23" i="13"/>
  <c r="E25" i="13" l="1"/>
  <c r="D25" i="13"/>
  <c r="C25" i="13"/>
  <c r="F22" i="13"/>
  <c r="F21" i="13"/>
  <c r="F20" i="13"/>
  <c r="F19" i="13"/>
  <c r="F18" i="13"/>
  <c r="F17" i="13"/>
  <c r="F25" i="13" l="1"/>
  <c r="F23" i="13"/>
  <c r="H12" i="7" l="1"/>
  <c r="G12" i="7"/>
  <c r="H9" i="7"/>
  <c r="H18" i="7" s="1"/>
  <c r="G9" i="7"/>
  <c r="G18" i="7" s="1"/>
  <c r="C109" i="89"/>
  <c r="C91" i="89"/>
  <c r="C80" i="89"/>
  <c r="C81" i="89" s="1"/>
  <c r="C52" i="89"/>
  <c r="C53" i="89" s="1"/>
  <c r="C4" i="89"/>
  <c r="C82" i="89" l="1"/>
  <c r="C110" i="89"/>
  <c r="C27" i="4"/>
  <c r="C28" i="4" s="1"/>
  <c r="B27" i="4"/>
  <c r="B28" i="4" s="1"/>
  <c r="C19" i="4"/>
  <c r="B19" i="4"/>
  <c r="C15" i="4"/>
  <c r="B15" i="4"/>
  <c r="C8" i="4"/>
  <c r="B8" i="4"/>
  <c r="B16" i="4" s="1"/>
  <c r="C16" i="4" l="1"/>
  <c r="C20" i="4" s="1"/>
  <c r="C29" i="4" s="1"/>
  <c r="C39" i="4" s="1"/>
  <c r="B20" i="4"/>
  <c r="B29" i="4" s="1"/>
  <c r="B39" i="4" s="1"/>
  <c r="C111" i="89"/>
  <c r="B37" i="4"/>
  <c r="I35" i="101"/>
  <c r="C38" i="4" l="1"/>
  <c r="B38" i="4"/>
  <c r="C37" i="4"/>
  <c r="I21" i="101"/>
  <c r="H21" i="101"/>
  <c r="G21" i="101"/>
  <c r="F21" i="101"/>
  <c r="E21" i="101"/>
  <c r="D21" i="101"/>
  <c r="I10" i="101"/>
  <c r="H10" i="101"/>
  <c r="B11" i="40" l="1"/>
  <c r="B10" i="40" s="1"/>
  <c r="D11" i="40" l="1"/>
  <c r="B25" i="40"/>
  <c r="D25" i="40" s="1"/>
  <c r="D10" i="40"/>
</calcChain>
</file>

<file path=xl/sharedStrings.xml><?xml version="1.0" encoding="utf-8"?>
<sst xmlns="http://schemas.openxmlformats.org/spreadsheetml/2006/main" count="4228" uniqueCount="1559">
  <si>
    <t>Key metrics
The overall increase in available capital was driven by the impairment of intangible assets following the new financial plan in Q3 2019 and FX effects in retained earnings, increasing the CET1 capital by EUR 0.3bn. REA decreased by EUR 5.7bn year-on-year, mainly as a result of adjusted risk-weights on IRB floors for commercial real estate in Sweden and Norway. Leverage ratio increased from 5.1% to 5.3% during the year, primarily as a result of decreased leverage exposure. Nordea’s LCR decreased from 185% by year-end 2018 to 166% at the end of 2019, mainly driven by an increase in total net cash outflow by EUR 5.2bn accompanied with a decrease in HQLA by EUR 1.9bn. As of year-end 2019 Nordea has fully transitioned into reporting the EU NSFR.</t>
  </si>
  <si>
    <t>Common Equity Tier 1 (CET1)</t>
  </si>
  <si>
    <t>Tier 1</t>
  </si>
  <si>
    <t>Total capital</t>
  </si>
  <si>
    <t>Total REA</t>
  </si>
  <si>
    <t>Common Equity Tier 1 ratio</t>
  </si>
  <si>
    <t>Tier 1 ratio</t>
  </si>
  <si>
    <t>Total capital ratio</t>
  </si>
  <si>
    <t>Capital conservation buffer requirement</t>
  </si>
  <si>
    <t xml:space="preserve">Countercyclical buffer requirement </t>
  </si>
  <si>
    <t xml:space="preserve">Systemic risk buffer requirement </t>
  </si>
  <si>
    <t>Total buffer requirements</t>
  </si>
  <si>
    <t>CET1 available after meeting the bank’s minimum capital requirements of 4.5%</t>
  </si>
  <si>
    <t>Basel III leverage ratio</t>
  </si>
  <si>
    <t>Transitional leverage ratio exposure measure</t>
  </si>
  <si>
    <t>Liquidity Coverage Ratio</t>
  </si>
  <si>
    <t xml:space="preserve"> </t>
  </si>
  <si>
    <t>LCR ratio (%)</t>
  </si>
  <si>
    <t>Net Stable Funding Ratio (NSFR)1</t>
  </si>
  <si>
    <t>Available stable funding</t>
  </si>
  <si>
    <t>Required stable funding</t>
  </si>
  <si>
    <t>Net stable funding</t>
  </si>
  <si>
    <t>NSFR ratio (%)</t>
  </si>
  <si>
    <t>1According to CRR2 regulation published in Q219, information not available as of Q418.</t>
  </si>
  <si>
    <t>Table name</t>
  </si>
  <si>
    <t>Table number</t>
  </si>
  <si>
    <t>Capital position</t>
  </si>
  <si>
    <t>Summary of items included in own funds</t>
  </si>
  <si>
    <t>Own funds flow</t>
  </si>
  <si>
    <t>Drivers behind the development of the CET1 capital ratio</t>
  </si>
  <si>
    <t>Bridge between IFRS equity and CET1 capital</t>
  </si>
  <si>
    <t>Capital ratios</t>
  </si>
  <si>
    <t xml:space="preserve">EU OV1: Overview of REA </t>
  </si>
  <si>
    <t>Flow Statement of REA</t>
  </si>
  <si>
    <t xml:space="preserve">Credit risk </t>
  </si>
  <si>
    <t>EU CRB-B: Total and average net amount of exposures</t>
  </si>
  <si>
    <t>EU CRB-C: Geographical breakdown of exposures</t>
  </si>
  <si>
    <t>EU CRB-D: Concentraion of exposures by industry</t>
  </si>
  <si>
    <t>EU CRB-E: Maturity of exposures</t>
  </si>
  <si>
    <t>EU CR1-A: Credit quality of exposures by exposure class and instrument</t>
  </si>
  <si>
    <t>EU CR1-B: Credit quality of exposures by industry or counterparty types</t>
  </si>
  <si>
    <t>EU CR1-C: Credit quality of exposures by geography</t>
  </si>
  <si>
    <t>EU CR2-A: Changes in stock of general and specific credit risk adjustments</t>
  </si>
  <si>
    <t>EU CR2-B: Changes in the stock of defaulted and impaired loans and debt securities</t>
  </si>
  <si>
    <t xml:space="preserve">EU CR3: Credit risk mitigation techniques – overview </t>
  </si>
  <si>
    <t>EU CR4: Standardised approach – credit risk exposure and Credit Risk Mitigation (CRM) effects</t>
  </si>
  <si>
    <t>EU CR5: Standardised approach - credit risk exposures by regulatory portfolio and risk</t>
  </si>
  <si>
    <t xml:space="preserve">EU CR6 Total IRB: Credit risk exposures by PD scale </t>
  </si>
  <si>
    <t xml:space="preserve">EU CR6 FIRB Institution: Credit risk exposures by PD scale </t>
  </si>
  <si>
    <t xml:space="preserve">EU CR6 IRB Corporate: Credit risk exposures by PD scale </t>
  </si>
  <si>
    <t xml:space="preserve">EU CR6 IRB Retail: Credit risk exposures by PD scale </t>
  </si>
  <si>
    <t>EU CR7 Effect on REA of credit derivatives used as CRM techniques</t>
  </si>
  <si>
    <t>EU CR8 REA flow statements of credit risk exposures under IRB</t>
  </si>
  <si>
    <t>EU CR9: IRB approach - Backtesting of PD per exposure class</t>
  </si>
  <si>
    <t>Min. capital requirement for credit risk split by exposure type</t>
  </si>
  <si>
    <t>Original Exposure split by exposure class and exposure type</t>
  </si>
  <si>
    <t>Average quarterly original exposure, split by exposure class and exposure type</t>
  </si>
  <si>
    <t>Exposure secured by collaterals, guarantees and credit derivatives, split by exposure class</t>
  </si>
  <si>
    <t>Distribution of collaterals</t>
  </si>
  <si>
    <t xml:space="preserve">Credit risk adjustments by customer </t>
  </si>
  <si>
    <t>Loans, impaired loans, allowances and provisioning ratios, split by customer type</t>
  </si>
  <si>
    <t>Impaired loans to the public: gross, allowances and past due loans not impaired split by geography and industry</t>
  </si>
  <si>
    <t>Reconciliation of allowance accounts for impaired loans</t>
  </si>
  <si>
    <t>Loan losses, split by customer type</t>
  </si>
  <si>
    <t>Credit quality of forborne exposures</t>
  </si>
  <si>
    <t>Credit quality of performing and non-performing exposures by past due days</t>
  </si>
  <si>
    <t>Performing and non-performing exposures and related provisions</t>
  </si>
  <si>
    <t xml:space="preserve">Collateral obtained by taking possession and execution processes </t>
  </si>
  <si>
    <t>Standardised exposure classes, distributed by credit quality step</t>
  </si>
  <si>
    <t>Comparison on parameter estimates against actual outcomes</t>
  </si>
  <si>
    <t>PD and LGD per exposures class</t>
  </si>
  <si>
    <t xml:space="preserve">Counterparty credit risk </t>
  </si>
  <si>
    <t>EU CCR1 Analysis of counterparty credit risk by approach</t>
  </si>
  <si>
    <t xml:space="preserve">EU CCR2 Credit valuation adjustment (CVA) capital charge </t>
  </si>
  <si>
    <t>EU CCR3 Standardised approach - Counterparty credit risk exposures by regulatory portfolio and risk</t>
  </si>
  <si>
    <t>EU CCR4: Counterparty credit risk exposures by portfolio and PD scale</t>
  </si>
  <si>
    <t>EU CCR5-A: Impact of netting and collateral held on exposure values</t>
  </si>
  <si>
    <t>EU CCR5-B: Composition of collateral for exposures to CCR</t>
  </si>
  <si>
    <t>EU CCR6 Credit derivatives exposures</t>
  </si>
  <si>
    <t xml:space="preserve">EU CCR7: REA flow statements of CCR exposures under the IMM </t>
  </si>
  <si>
    <t>EU CCR8 Exposures to central counterparties</t>
  </si>
  <si>
    <t>Counterparty credit risk exposures and REA split by exposure class</t>
  </si>
  <si>
    <t>Securitisation</t>
  </si>
  <si>
    <t>Market risk</t>
  </si>
  <si>
    <t>EU MR1 Market risk under standardised approach</t>
  </si>
  <si>
    <t>EU MR2-A Market risk under the internal models approach</t>
  </si>
  <si>
    <t>EU MR2-B REA flow statements of market risk exposures under the IMA</t>
  </si>
  <si>
    <t>EU MR3 IMA values for trading portfolios</t>
  </si>
  <si>
    <t>EU MR4 Comparison of VaR estimates with gains/losses</t>
  </si>
  <si>
    <t>Market risk in the trading book</t>
  </si>
  <si>
    <t>Economic value sensitivity for the banking book, 6 scenarios from BCBS</t>
  </si>
  <si>
    <t>Net interest income sensitivities for the banking book over 1 year horizon (SIIR), 6 scenarios from BCBS</t>
  </si>
  <si>
    <t>Equity holdings in the banking book</t>
  </si>
  <si>
    <t xml:space="preserve">REA and minimum capital requirement for market risk </t>
  </si>
  <si>
    <t>Operational risk</t>
  </si>
  <si>
    <t>Distribution of incidents reported</t>
  </si>
  <si>
    <t>Liquidity and funding</t>
  </si>
  <si>
    <t>LIQ 1: LCR Disclosures</t>
  </si>
  <si>
    <t>Encumbered and unemcumbered assets</t>
  </si>
  <si>
    <t>LCR sub-components</t>
  </si>
  <si>
    <t>Liquidity buffer split by type of asset and currency</t>
  </si>
  <si>
    <t>Historical quarterly development of the liquidity buffer</t>
  </si>
  <si>
    <t xml:space="preserve">Net stable funding ratio </t>
  </si>
  <si>
    <t>Funding sources</t>
  </si>
  <si>
    <t>Assets and liabilities split by currency</t>
  </si>
  <si>
    <t>Maturity analysis for assets and liabilities</t>
  </si>
  <si>
    <t>Maturity analysis for assets and liabilities split by currency</t>
  </si>
  <si>
    <t>Other</t>
  </si>
  <si>
    <t>EU LI1 Differences Between accounting and regulatory scopes of consolidation and the mapping of financial statement categories with regulatory risk categories</t>
  </si>
  <si>
    <t>Mapping of own funds to the balance sheet</t>
  </si>
  <si>
    <t>EU LI2 Main sources of differences between regulatory exposure amounts and carrying values in financial statements</t>
  </si>
  <si>
    <t>Transitional own funds disclosure template</t>
  </si>
  <si>
    <t>Leverage ratio  disclosure template</t>
  </si>
  <si>
    <t>Loans to the real estate management industry, split by geography</t>
  </si>
  <si>
    <t>Loans to the shipping industry and offshore industry, split by segment</t>
  </si>
  <si>
    <t>Loans to corporate customers, split by size of loan</t>
  </si>
  <si>
    <t>Loan-to-value distribution, retail mortgage exposure, on-balance</t>
  </si>
  <si>
    <t>Countercyclical capital buffer</t>
  </si>
  <si>
    <t xml:space="preserve">EU LI 3 Specification of undertakings </t>
  </si>
  <si>
    <t>Capital and risk information guide</t>
  </si>
  <si>
    <t xml:space="preserve">CRR reference table </t>
  </si>
  <si>
    <t>Table</t>
  </si>
  <si>
    <t xml:space="preserve">Table 1 Summary of items included in own funds
</t>
  </si>
  <si>
    <t>EURm</t>
  </si>
  <si>
    <t>2019 Q4</t>
  </si>
  <si>
    <t>2018 Q4</t>
  </si>
  <si>
    <t>Calculation of own funds1</t>
  </si>
  <si>
    <t>Equity in the consolidated situation</t>
  </si>
  <si>
    <t>Proposed/actual dividend</t>
  </si>
  <si>
    <t>Common Equity Tier 1 capital before regulatory adjustments</t>
  </si>
  <si>
    <t>Deferred tax assets</t>
  </si>
  <si>
    <t>Intangible assets</t>
  </si>
  <si>
    <t>IRB provisions shortfall (-)</t>
  </si>
  <si>
    <t>Deduction for investments in credit institutions (50%)</t>
  </si>
  <si>
    <t>Pension assets in excess of related liabilities</t>
  </si>
  <si>
    <t>Other items, net</t>
  </si>
  <si>
    <t>Total regulatory adjustments to Common Equity Tier 1 capital</t>
  </si>
  <si>
    <t>Common Equity Tier 1 capital (net after deduction)</t>
  </si>
  <si>
    <t>Additional Tier 1 capital before regulatory adjustments</t>
  </si>
  <si>
    <t>Total regulatory adjustments to Additional Tier 1 capital</t>
  </si>
  <si>
    <t>Additional Tier 1 capital</t>
  </si>
  <si>
    <t>Tier 1 capital (net after deduction)</t>
  </si>
  <si>
    <t>Tier 2 capital before regulatory adjustments</t>
  </si>
  <si>
    <t>IRB provisions excess (+)</t>
  </si>
  <si>
    <t>Deductions for investments in insurance companies</t>
  </si>
  <si>
    <t>Total regulatory adjustments to Tier 2 capital</t>
  </si>
  <si>
    <t>Tier 2 capital</t>
  </si>
  <si>
    <t>Own funds (net after deduction)</t>
  </si>
  <si>
    <t>1As reported to FSA.</t>
  </si>
  <si>
    <t>Own funds, excluding profit</t>
  </si>
  <si>
    <t>2019 Q3</t>
  </si>
  <si>
    <t>Common Equity Tier 1 capital, excluding profit</t>
  </si>
  <si>
    <t>Tier 1 capital (net after deduction), excluding profit</t>
  </si>
  <si>
    <t>Total own funds, excluding profit</t>
  </si>
  <si>
    <t/>
  </si>
  <si>
    <t>Other adjustments</t>
  </si>
  <si>
    <t>graph</t>
  </si>
  <si>
    <t>2019</t>
  </si>
  <si>
    <t>Balance sheet equity</t>
  </si>
  <si>
    <t>Valuation adjustment for non-CRR companies</t>
  </si>
  <si>
    <t>CET1 before deductions</t>
  </si>
  <si>
    <t>Dividend1</t>
  </si>
  <si>
    <t>Goodwill</t>
  </si>
  <si>
    <t>Shortfall deduction</t>
  </si>
  <si>
    <t>Pension deduction</t>
  </si>
  <si>
    <t>Prudential filters</t>
  </si>
  <si>
    <t>Transitional adjustments</t>
  </si>
  <si>
    <t>Other deductions</t>
  </si>
  <si>
    <t>Common Equity Tier 1 capital</t>
  </si>
  <si>
    <t>Table 4 Bridge between IFRS equity and CET1 capital</t>
  </si>
  <si>
    <t>Risk based capital ratios</t>
  </si>
  <si>
    <t>%</t>
  </si>
  <si>
    <t>Q4 2019</t>
  </si>
  <si>
    <t>Q4 2018</t>
  </si>
  <si>
    <t>Common Equity Tier 1 capital ratio, including profit</t>
  </si>
  <si>
    <t>Tier 1 capital ratio, including profit</t>
  </si>
  <si>
    <t>Total capital ratio, including profit</t>
  </si>
  <si>
    <t>Common Equity Tier 1 capital ratio, excluding profit</t>
  </si>
  <si>
    <t>Tier 1 capital ratio, excluding profit</t>
  </si>
  <si>
    <t>Total capital ratio, excluding profit</t>
  </si>
  <si>
    <t>Leverage based capital ratios</t>
  </si>
  <si>
    <t>Leverage ratio, transitional definition, percentage</t>
  </si>
  <si>
    <t>Leverage ratio, percentage</t>
  </si>
  <si>
    <t>Table 5 Capital ratios</t>
  </si>
  <si>
    <t>REA</t>
  </si>
  <si>
    <t>Minimum capital requirement</t>
  </si>
  <si>
    <t>Credit risk (excluding counterparty credit risk) (CCR)</t>
  </si>
  <si>
    <t>Counterparty credit risk</t>
  </si>
  <si>
    <t>Of which standardised approach (SA)</t>
  </si>
  <si>
    <t>Of which basic indicator approach</t>
  </si>
  <si>
    <t>Pillar 1 total</t>
  </si>
  <si>
    <t>Of which Marked to market</t>
  </si>
  <si>
    <t>a</t>
  </si>
  <si>
    <t>b</t>
  </si>
  <si>
    <t>2019 EURm</t>
  </si>
  <si>
    <t>IRB approach</t>
  </si>
  <si>
    <t>Central governments or central banks</t>
  </si>
  <si>
    <t>Institutions</t>
  </si>
  <si>
    <t>Retail</t>
  </si>
  <si>
    <t>Equity</t>
  </si>
  <si>
    <t>Total IRB approach</t>
  </si>
  <si>
    <t>Standardised approach</t>
  </si>
  <si>
    <t>Regional governments or local authorities</t>
  </si>
  <si>
    <t>Public sector entities</t>
  </si>
  <si>
    <t>Secured by mortgages on immovable property</t>
  </si>
  <si>
    <t>Exposures in default</t>
  </si>
  <si>
    <t>Covered bonds</t>
  </si>
  <si>
    <t>Collective investments undertakings (CIU)</t>
  </si>
  <si>
    <t>Total standardised approach</t>
  </si>
  <si>
    <t>Total</t>
  </si>
  <si>
    <t>Table 9 EU CRB-C: Geographical breakdown of exposures</t>
  </si>
  <si>
    <t>c</t>
  </si>
  <si>
    <t>d</t>
  </si>
  <si>
    <t>e</t>
  </si>
  <si>
    <t>f</t>
  </si>
  <si>
    <t>g</t>
  </si>
  <si>
    <t>h</t>
  </si>
  <si>
    <t>j</t>
  </si>
  <si>
    <t>n</t>
  </si>
  <si>
    <t>Net exposures</t>
  </si>
  <si>
    <t>2019, EURm</t>
  </si>
  <si>
    <t>Baltic countries</t>
  </si>
  <si>
    <t>Russia</t>
  </si>
  <si>
    <t>of which SME</t>
  </si>
  <si>
    <t>2018, EURm</t>
  </si>
  <si>
    <t>Construction</t>
  </si>
  <si>
    <t>Total SA Approach</t>
  </si>
  <si>
    <t>Table 10 EU CRB-D: Concentration of exposures by industry</t>
  </si>
  <si>
    <t>Table 11 EU CRB-E: Maturity of exposures</t>
  </si>
  <si>
    <t>Net exposure value</t>
  </si>
  <si>
    <t>On demand</t>
  </si>
  <si>
    <t>2019 Q4, EURm</t>
  </si>
  <si>
    <t>Original exposures</t>
  </si>
  <si>
    <t>Specific credit risk adjustment</t>
  </si>
  <si>
    <t>General credit risk adjustment</t>
  </si>
  <si>
    <t>Accumulated write-offs</t>
  </si>
  <si>
    <t>Credit risk adjustment charges of the period</t>
  </si>
  <si>
    <t>Net values
(a+b-c-d)</t>
  </si>
  <si>
    <t>2018 Q4, EURm</t>
  </si>
  <si>
    <t>Table 12 EU CR1-A: Credit quality of exposures by exposure class and instrument</t>
  </si>
  <si>
    <t>Table 13 EU CR1-B: Credit quality of exposures by industry or counterparty types</t>
  </si>
  <si>
    <t>1 Q4 2018 figures restated to align with Q4 2019 interpretation.</t>
  </si>
  <si>
    <t>Table 14 EU CR1-C: Credit quality of exposures by geography</t>
  </si>
  <si>
    <t>Accumulated specific credit risk adjustment</t>
  </si>
  <si>
    <t>Accumulated general credit risk adjustment</t>
  </si>
  <si>
    <t>Closing balance</t>
  </si>
  <si>
    <t>Recoveries on credit risk adjustments recorded directly to the statement of profit or loss</t>
  </si>
  <si>
    <t>Specific credit risk adjustments recorded directly to the statement of profit or loss</t>
  </si>
  <si>
    <t>Accumulated general credit risk adustment</t>
  </si>
  <si>
    <t xml:space="preserve">Table 15 EU CR2-A: Changes in stock of general and specific credit risk adjustments </t>
  </si>
  <si>
    <t xml:space="preserve">Table 16 EU CR2-B: Changes in the stock of defaulted and impaired loans and debt securities                                                                                                                                                                                                         
</t>
  </si>
  <si>
    <t>Gross carrying value impaired exposures</t>
  </si>
  <si>
    <t>Opening balance</t>
  </si>
  <si>
    <t>Loans and debt securities that have defaulted or impaired since the last reporting period</t>
  </si>
  <si>
    <t>Returned to non-defaulted (and non-impaired) status</t>
  </si>
  <si>
    <t>Amount written off</t>
  </si>
  <si>
    <t>Other changes</t>
  </si>
  <si>
    <t>Loans</t>
  </si>
  <si>
    <t xml:space="preserve">Table 17 EU CR3: Credit risk mitigation techniques – overview </t>
  </si>
  <si>
    <t>Exposures before CCF and CRM</t>
  </si>
  <si>
    <t>Exposures post-CCF and CRM</t>
  </si>
  <si>
    <t>Asset classes</t>
  </si>
  <si>
    <t>On-balance sheet amount</t>
  </si>
  <si>
    <t>Off-balance sheet amount</t>
  </si>
  <si>
    <t>REA density</t>
  </si>
  <si>
    <t>Multilateral development banks</t>
  </si>
  <si>
    <t>International organisations</t>
  </si>
  <si>
    <t>Corporate</t>
  </si>
  <si>
    <t>Institutions and corporates with a short-term credit assessment</t>
  </si>
  <si>
    <t>Collective investment undertakings</t>
  </si>
  <si>
    <t>Other items</t>
  </si>
  <si>
    <t>Table 18 EU CR4: Standardised approach – credit risk exposure and Credit Risk Mitigation (CRM) effects</t>
  </si>
  <si>
    <t xml:space="preserve">EURm </t>
  </si>
  <si>
    <t>Risk weight</t>
  </si>
  <si>
    <t xml:space="preserve">Exposure classes </t>
  </si>
  <si>
    <t>0%</t>
  </si>
  <si>
    <t>Table 19 EU CR5: Standardised approach - credit risk exposures by regulatory portfolio and risk</t>
  </si>
  <si>
    <t>Q4 2019, EURm</t>
  </si>
  <si>
    <t>i</t>
  </si>
  <si>
    <t>k</t>
  </si>
  <si>
    <t>l</t>
  </si>
  <si>
    <t>PD scale</t>
  </si>
  <si>
    <t>Original exposure</t>
  </si>
  <si>
    <t>Off-balance exposure</t>
  </si>
  <si>
    <t>Average CCF</t>
  </si>
  <si>
    <t xml:space="preserve">EAD </t>
  </si>
  <si>
    <t>Average PD</t>
  </si>
  <si>
    <t>Number of obligors. '000</t>
  </si>
  <si>
    <t>Average LGD</t>
  </si>
  <si>
    <t>Average maturity</t>
  </si>
  <si>
    <t>EL</t>
  </si>
  <si>
    <t>Value adj. and provision</t>
  </si>
  <si>
    <t>Total IRB exposures</t>
  </si>
  <si>
    <t>0.00 to &lt; 0.15</t>
  </si>
  <si>
    <t>0.15 to &lt; 0.25</t>
  </si>
  <si>
    <t>0.25 to &lt; 0.50</t>
  </si>
  <si>
    <t>0.50 to &lt; 0.75</t>
  </si>
  <si>
    <t>0.75 to &lt; 2.50</t>
  </si>
  <si>
    <t>2.50 to &lt; 10.00</t>
  </si>
  <si>
    <t>10.00 to &lt; 100</t>
  </si>
  <si>
    <t xml:space="preserve">100 (Default) </t>
  </si>
  <si>
    <t xml:space="preserve">Total </t>
  </si>
  <si>
    <t>Q3 2019, EURm</t>
  </si>
  <si>
    <t>Table 20 EU CR6 Total IRB: Credit risk exposures by portfolio and PD scale</t>
  </si>
  <si>
    <t xml:space="preserve">Institutions - FIRB </t>
  </si>
  <si>
    <t>Q4 2018, EURm</t>
  </si>
  <si>
    <t>Table 21 EU CR6 FIRB Institutions: Credit risk exposures by PD scale</t>
  </si>
  <si>
    <t xml:space="preserve">Table 22 EU CR6 IRB Corporates: Credit risk exposures by PD scale
</t>
  </si>
  <si>
    <t>Corporate - IRB, Total</t>
  </si>
  <si>
    <t>0.50 to &lt; 0.751</t>
  </si>
  <si>
    <t>Corporate - AIRB, Total</t>
  </si>
  <si>
    <t>Corporate - AIRB, Corporates (exluding SMEs and specialised lending)</t>
  </si>
  <si>
    <t>Sub-total</t>
  </si>
  <si>
    <t>Corporate - AIRB, SMEs (excluding specialised lending)</t>
  </si>
  <si>
    <t xml:space="preserve">Corporate - AIRB, Specialised lending </t>
  </si>
  <si>
    <t>Corporate - FIRB, Total</t>
  </si>
  <si>
    <t>Corporate - FIRB, Corporates (excluding SMEs and specialised lending)</t>
  </si>
  <si>
    <t>Corporate - FIRB, SMEs (excluding specialised lending)</t>
  </si>
  <si>
    <t xml:space="preserve">Corporate - FIRB, Specialised Lending </t>
  </si>
  <si>
    <t xml:space="preserve">
1For corporate exposure class the bucket 4 is empty, since no regulatory PD in the range 0.5% - 0.75%.</t>
  </si>
  <si>
    <t xml:space="preserve">Table 23 EU CR6  IRB Retail: Credit risk exposures by PD scale </t>
  </si>
  <si>
    <t>Retail - RIRB, total</t>
  </si>
  <si>
    <t>Retail - RIRB, Non-SME (excluding exposures secured by immovable property)</t>
  </si>
  <si>
    <t>Retail - RIRB,  SME (excluding exposures secured by immovable property)</t>
  </si>
  <si>
    <t>Retail - RIRB, SME exposures secured by immovable property</t>
  </si>
  <si>
    <t>Retail - RIRB, Non-SME exposures secured by immovable property</t>
  </si>
  <si>
    <t xml:space="preserve">a </t>
  </si>
  <si>
    <t>Pre-credit derivatives REA</t>
  </si>
  <si>
    <t>Actual REA</t>
  </si>
  <si>
    <t>Exposures under Foundation IRB</t>
  </si>
  <si>
    <t>Central governments and central banks</t>
  </si>
  <si>
    <t>Corporates - SME</t>
  </si>
  <si>
    <t>Corporates - Specialised Lending</t>
  </si>
  <si>
    <t>Corporates - Other</t>
  </si>
  <si>
    <t>Exposures under Advanced IRB</t>
  </si>
  <si>
    <t>Central government and central banks</t>
  </si>
  <si>
    <t>Retail - Secured by real estate SME</t>
  </si>
  <si>
    <t>Retail - Secured by real estate non-SME</t>
  </si>
  <si>
    <t>Retail - Qualifying revolving</t>
  </si>
  <si>
    <t>Retail - Other SME</t>
  </si>
  <si>
    <t>Retail - Other non-SME</t>
  </si>
  <si>
    <t>Equity IRB</t>
  </si>
  <si>
    <t>Other non credit-obligation assets</t>
  </si>
  <si>
    <t>Table 24 EU CR7: Effect on REA of credit derivatives used as CRM techniques</t>
  </si>
  <si>
    <t>Capital 
requirement</t>
  </si>
  <si>
    <t>REA 2018 Q4</t>
  </si>
  <si>
    <t>Asset size</t>
  </si>
  <si>
    <t>Asset quality</t>
  </si>
  <si>
    <t>Model updates</t>
  </si>
  <si>
    <t>Methodology and policy</t>
  </si>
  <si>
    <t>Acquisitions and disposals</t>
  </si>
  <si>
    <t>Foreign exchange movements</t>
  </si>
  <si>
    <t>REA 2019 Q4</t>
  </si>
  <si>
    <t>REA 2017 Q4</t>
  </si>
  <si>
    <t>Table 25 EU CR8: REA flow statements of credit risk exposures under IRB</t>
  </si>
  <si>
    <t>Table 26 EU CR9 - IRB approach - Backtesting of PD per exposure class</t>
  </si>
  <si>
    <t>Number of obligors</t>
  </si>
  <si>
    <t>Exposure class</t>
  </si>
  <si>
    <t>PD range</t>
  </si>
  <si>
    <t>Weighted average PD 2019</t>
  </si>
  <si>
    <t>Arithmetic averaged PD by obligors 2019</t>
  </si>
  <si>
    <t>Defaulted obligors in the year</t>
  </si>
  <si>
    <t>Of which new obligors</t>
  </si>
  <si>
    <t>Average historical annual default rate</t>
  </si>
  <si>
    <t>Retail AIRB</t>
  </si>
  <si>
    <t>Of which secured by</t>
  </si>
  <si>
    <t>immovable property</t>
  </si>
  <si>
    <t>Of which other retail</t>
  </si>
  <si>
    <t>Corporate FIRB</t>
  </si>
  <si>
    <t>Corporate AIRB</t>
  </si>
  <si>
    <t>Institution FIRB</t>
  </si>
  <si>
    <t xml:space="preserve">
1 Bucket 4 is empty for the  exposure class corporate, since Nordea does not have regulatory PD in the range 0.5% - 0.75%.
</t>
  </si>
  <si>
    <t>Exposure</t>
  </si>
  <si>
    <t>Average risk weight</t>
  </si>
  <si>
    <t>Capital requirement</t>
  </si>
  <si>
    <t>Sovereign</t>
  </si>
  <si>
    <t>Institution</t>
  </si>
  <si>
    <t>Standardised exposure classes</t>
  </si>
  <si>
    <t>Regional governments and local authorities</t>
  </si>
  <si>
    <t>Table 27 Minimum capital requirements for credit risk, split by exposure class</t>
  </si>
  <si>
    <t>Derivatives</t>
  </si>
  <si>
    <t xml:space="preserve"> - of which Advanced</t>
  </si>
  <si>
    <t xml:space="preserve">   - of which secured by immovable property</t>
  </si>
  <si>
    <t xml:space="preserve">   - of which other retail</t>
  </si>
  <si>
    <t xml:space="preserve">   - of which SME</t>
  </si>
  <si>
    <t xml:space="preserve">Total  </t>
  </si>
  <si>
    <t>Financial collateral</t>
  </si>
  <si>
    <t>Receivables</t>
  </si>
  <si>
    <t>Residential real estate</t>
  </si>
  <si>
    <t>Commercial real estate</t>
  </si>
  <si>
    <t>Table 31 Distribution of collateral</t>
  </si>
  <si>
    <t>Provisions</t>
  </si>
  <si>
    <t>To central banks and credit institutions</t>
  </si>
  <si>
    <t>- of which central banks</t>
  </si>
  <si>
    <t>- of which credit institutions</t>
  </si>
  <si>
    <t>To the public</t>
  </si>
  <si>
    <t>- of which corporate</t>
  </si>
  <si>
    <t>- of which household</t>
  </si>
  <si>
    <t>Mortgage financing</t>
  </si>
  <si>
    <t>- of which public sector</t>
  </si>
  <si>
    <t>Denmark</t>
  </si>
  <si>
    <t>Finland</t>
  </si>
  <si>
    <t>Norway</t>
  </si>
  <si>
    <t>Sweden</t>
  </si>
  <si>
    <t>Table 37 Credit quality of forborne exposures</t>
  </si>
  <si>
    <t>Gross carrying amount/nominal amount of exposures with forbearance measures</t>
  </si>
  <si>
    <t>Accumulated impairment, accumulated negative changes in fair value due to credit risk and provisions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</si>
  <si>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</si>
  <si>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</si>
  <si>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</si>
  <si>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</si>
  <si>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</si>
  <si>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</si>
  <si>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</si>
  <si>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</si>
  <si>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Loans and advances</t>
  </si>
  <si>
    <t>of which Central banks</t>
  </si>
  <si>
    <t>of which General governments</t>
  </si>
  <si>
    <t>of which Credit institutions</t>
  </si>
  <si>
    <t>of which Other financial corporations</t>
  </si>
  <si>
    <t>of which Non-financial corporations</t>
  </si>
  <si>
    <t>of which Households</t>
  </si>
  <si>
    <t>Debt Securities</t>
  </si>
  <si>
    <t>Loan commitments given</t>
  </si>
  <si>
    <t>Table 38 Credit quality of performing and non-performing exposures by past due days</t>
  </si>
  <si>
    <t>Gross carrying amount/nominal amount</t>
  </si>
  <si>
    <t>Performing exposures</t>
  </si>
  <si>
    <t>Non-performing exposures</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</si>
  <si>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</si>
  <si>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</si>
  <si>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</si>
  <si>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</si>
  <si>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</si>
  <si>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</si>
  <si>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</si>
  <si>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</si>
  <si>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</si>
  <si>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Central banks</t>
  </si>
  <si>
    <t>General governments</t>
  </si>
  <si>
    <t>Credit institutions</t>
  </si>
  <si>
    <t>Other financial corporations</t>
  </si>
  <si>
    <t>Non-financial corporations</t>
  </si>
  <si>
    <t xml:space="preserve">      Of which SMEs</t>
  </si>
  <si>
    <t>Households</t>
  </si>
  <si>
    <t>Debt securities</t>
  </si>
  <si>
    <t>Off-balance-sheet exposures</t>
  </si>
  <si>
    <t>Table 39 Performing and non-performing exposures and related provisions</t>
  </si>
  <si>
    <t>m</t>
  </si>
  <si>
    <t>o</t>
  </si>
  <si>
    <t>Accumulated partial write-off</t>
  </si>
  <si>
    <t>Collateral and financial guarantees received</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</si>
  <si>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</si>
  <si>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</si>
  <si>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</si>
  <si>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</si>
  <si>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</si>
  <si>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</si>
  <si>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</si>
  <si>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Original Exposure</t>
  </si>
  <si>
    <t>Credit quality step</t>
  </si>
  <si>
    <t>Standard &amp; Poor's rating</t>
  </si>
  <si>
    <t>31 Dec 2019</t>
  </si>
  <si>
    <t>31 Dec 2018</t>
  </si>
  <si>
    <t>AAA to AA-</t>
  </si>
  <si>
    <t>A+ to A-</t>
  </si>
  <si>
    <t>3 to 6 or blank</t>
  </si>
  <si>
    <t>BBB+ and below, or without rating</t>
  </si>
  <si>
    <t>AAA to AA-²)</t>
  </si>
  <si>
    <t>Table 41  Standardised exposure classes, distributed by credit quality step</t>
  </si>
  <si>
    <t>LGD</t>
  </si>
  <si>
    <t>US</t>
  </si>
  <si>
    <t>Percent (%)</t>
  </si>
  <si>
    <t>PD</t>
  </si>
  <si>
    <t xml:space="preserve"> - of which Foundation</t>
  </si>
  <si>
    <t>Total exposure-weighted IRB 2019</t>
  </si>
  <si>
    <t>Total exposure-weighted IRB 2018</t>
  </si>
  <si>
    <t xml:space="preserve">Table 43 Exposure weighted average PD and LGD, IRB exposure classes </t>
  </si>
  <si>
    <t>Notional</t>
  </si>
  <si>
    <t>Replace-ment cost/ Current market value</t>
  </si>
  <si>
    <t>Potential future value</t>
  </si>
  <si>
    <t>EEPE</t>
  </si>
  <si>
    <t>Multiplier</t>
  </si>
  <si>
    <t>EAD post-CRM</t>
  </si>
  <si>
    <t>Mark to market</t>
  </si>
  <si>
    <t>Internal Model Method (for derivatives and SFTs)</t>
  </si>
  <si>
    <t>Securities Financing Transactions</t>
  </si>
  <si>
    <t>Derivatives &amp; Long Settlement Transactions</t>
  </si>
  <si>
    <t>From Contractual Cross Product Netting</t>
  </si>
  <si>
    <t>Financial collateral simple method (for SFTs)</t>
  </si>
  <si>
    <t>Financial collateral comprehensive method (for SFTs)</t>
  </si>
  <si>
    <t>VaR for SFTs</t>
  </si>
  <si>
    <t>Table 44 EU CCR1: Analysis of counterparty credit risk by approach</t>
  </si>
  <si>
    <t>Exposure value</t>
  </si>
  <si>
    <t>Total portfolios subject to the Advanced Method</t>
  </si>
  <si>
    <t>(i) VaR component (including the 3×multiplier)</t>
  </si>
  <si>
    <t>(ii) Stressed VaR component (including the 3×multiplier)</t>
  </si>
  <si>
    <t>All portfolios subject to the Standardised Method</t>
  </si>
  <si>
    <t>Total subject to the CVA capital charge</t>
  </si>
  <si>
    <t xml:space="preserve">Table 45 EU CCR2: Credit valuation adjustment (CVA) capital charge </t>
  </si>
  <si>
    <t>EU Based on Original Exposure Method</t>
  </si>
  <si>
    <t>Exposure classes</t>
  </si>
  <si>
    <t>Table 46 EU CCR3: Standardised approach - Counterparty credit risk exposures by regulatory portfolio and risk</t>
  </si>
  <si>
    <t>EAD post CRM and post-CCF</t>
  </si>
  <si>
    <t>Total IRB</t>
  </si>
  <si>
    <t>Table 47 EU CCR4: Counterparty credit risk exposures by portfolio and PD scale</t>
  </si>
  <si>
    <t>Gross positive fair value or net carrying amount</t>
  </si>
  <si>
    <t>Netting benefits</t>
  </si>
  <si>
    <t>Netted current credit exposure</t>
  </si>
  <si>
    <t>Collateral held</t>
  </si>
  <si>
    <t>Net credit exposure</t>
  </si>
  <si>
    <t>Derivatives by underlying</t>
  </si>
  <si>
    <t>Cross product netting</t>
  </si>
  <si>
    <t>Table 48 EU CCR5-A: Impact of netting and collateral held on exposure values</t>
  </si>
  <si>
    <t>Collateral used in derivative transactions</t>
  </si>
  <si>
    <t>Collateral used in SFTs</t>
  </si>
  <si>
    <t>Fair value of collateral received</t>
  </si>
  <si>
    <t>Fair value of posted collateral</t>
  </si>
  <si>
    <t>Segregated</t>
  </si>
  <si>
    <t>Unsegregated</t>
  </si>
  <si>
    <t>Cash</t>
  </si>
  <si>
    <t>Government bonds</t>
  </si>
  <si>
    <t>Mortgage bonds</t>
  </si>
  <si>
    <t>Bonds</t>
  </si>
  <si>
    <t>Table 49 EU CCR5-B: Composition of collateral for exposures to CCR</t>
  </si>
  <si>
    <t>Credit derivative hedges</t>
  </si>
  <si>
    <t>Other credit derivatives</t>
  </si>
  <si>
    <t>Protection bought</t>
  </si>
  <si>
    <t>Protection sold</t>
  </si>
  <si>
    <t>Notionals</t>
  </si>
  <si>
    <t>Credit default swaps</t>
  </si>
  <si>
    <t>Credit options</t>
  </si>
  <si>
    <t>Total notionals</t>
  </si>
  <si>
    <t>Fair values</t>
  </si>
  <si>
    <t>Positive fair value (asset)</t>
  </si>
  <si>
    <t>Negative fair value (liability)</t>
  </si>
  <si>
    <t xml:space="preserve">Table 50 EU CCR6: Credit derivatives exposures
</t>
  </si>
  <si>
    <t xml:space="preserve">REA amounts </t>
  </si>
  <si>
    <t>Capital requirements</t>
  </si>
  <si>
    <t>Credit quality of counterparties</t>
  </si>
  <si>
    <t>Model updates (IMM only)</t>
  </si>
  <si>
    <t>Methodology and policy (IMM only)</t>
  </si>
  <si>
    <t>Interest rate movements</t>
  </si>
  <si>
    <t xml:space="preserve">Table 51 EU CCR7: REA flow statements of CCR exposures under the IMM </t>
  </si>
  <si>
    <t>EAD (post-CRM)</t>
  </si>
  <si>
    <t>Exposures to QCCPs (total)</t>
  </si>
  <si>
    <t>Exposures for trades at QCCPs (excluding initial margin and default fund contributions); of which</t>
  </si>
  <si>
    <t>(i) OTC derivatives</t>
  </si>
  <si>
    <t>(ii) Exchange-traded derivatives</t>
  </si>
  <si>
    <t>(iii) Securities financing transactions</t>
  </si>
  <si>
    <t>(iv) Netting sets where cross-products netting has been approved</t>
  </si>
  <si>
    <t>Segregated initial margin</t>
  </si>
  <si>
    <t>Non-segregated initial margin</t>
  </si>
  <si>
    <t>Pre-funded default fund contribution</t>
  </si>
  <si>
    <t>Alternative calcuation of own funds requirements for exposures</t>
  </si>
  <si>
    <t>Exposures to non-QCCPs (total)</t>
  </si>
  <si>
    <t>Table 52 EU CCR8: Exposures to central counterparties</t>
  </si>
  <si>
    <t>Securitisation positions - by capital approach</t>
  </si>
  <si>
    <t xml:space="preserve">Banking book </t>
  </si>
  <si>
    <t>Exposure values</t>
  </si>
  <si>
    <t>Re-
securitisation</t>
  </si>
  <si>
    <t>Traditional</t>
  </si>
  <si>
    <t>Synthetic</t>
  </si>
  <si>
    <t>Of which deducted from own funds or risk-weighted at 1250%</t>
  </si>
  <si>
    <t>Of which past due</t>
  </si>
  <si>
    <t>Recognised losses</t>
  </si>
  <si>
    <t>Total (originator)</t>
  </si>
  <si>
    <t xml:space="preserve">Table 54 Securitisation </t>
  </si>
  <si>
    <t xml:space="preserve">Market risk </t>
  </si>
  <si>
    <t xml:space="preserve">Market risk in the trading book </t>
  </si>
  <si>
    <t>Table 55 EU MR1: Market risk under standardised approach</t>
  </si>
  <si>
    <t>Interest rate risk (general and specific)</t>
  </si>
  <si>
    <t>Equity risk (general and specific)</t>
  </si>
  <si>
    <t xml:space="preserve">Foreign exchange risk </t>
  </si>
  <si>
    <t>Commodity risk</t>
  </si>
  <si>
    <t>Options</t>
  </si>
  <si>
    <t>Simplified approach</t>
  </si>
  <si>
    <t>Delta-plus method</t>
  </si>
  <si>
    <t>Scenario approach</t>
  </si>
  <si>
    <t>Outright products1</t>
  </si>
  <si>
    <t xml:space="preserve">1 Outright products refer to positions in products that are not optional. </t>
  </si>
  <si>
    <t>Table 56 EU MR2-A: Market risk under the internal models approach</t>
  </si>
  <si>
    <t>VaR (higher of values a and b)</t>
  </si>
  <si>
    <t>Previous day's VaR (Article 365 (1)(VaRt-1))</t>
  </si>
  <si>
    <t>Average of daily VaR (article 365 (1)) on each of the preceding sixty business days (VaRavg) x multiplication factor ((mc) in accordance with article 366)</t>
  </si>
  <si>
    <t>SVaR (higher of values a and b)</t>
  </si>
  <si>
    <t>Latest SVaR (Article 365 (2) (sVARt-1)</t>
  </si>
  <si>
    <t>Average of the SVaR (article 365 (2)) during the preceding 60 business days (sVaRavg) x multiplication factor (ms) (article 366)</t>
  </si>
  <si>
    <t>Incremental risk charge - IRC (higher of values a and b)</t>
  </si>
  <si>
    <t>Most recent IRC value (incremental default and migration risks section 3 calculated in accordance with Section 3 articles 370/371)</t>
  </si>
  <si>
    <t>Average of the IRC number over the preceding 12 weeks</t>
  </si>
  <si>
    <t>Comprehensive risk method - CRM (higher of values a,b and c)</t>
  </si>
  <si>
    <t>Most recent risk number for the correlation trading portfolio (article 377)</t>
  </si>
  <si>
    <t>Average of the risk numbers for the correlation trading portfolio over the preceding 12-weeks</t>
  </si>
  <si>
    <t>8% of the own funds requirement in SA on most recent risk number for the correlation trading portfolio (Article 338 (4))</t>
  </si>
  <si>
    <t xml:space="preserve">Table 57 EU MR2-B: REA flow statements of market risk exposures under the IMA
</t>
  </si>
  <si>
    <t>VaR</t>
  </si>
  <si>
    <t>SVaR</t>
  </si>
  <si>
    <t>IRM</t>
  </si>
  <si>
    <t>CRM</t>
  </si>
  <si>
    <t>Total capital requirements</t>
  </si>
  <si>
    <t>REA before regulatory adjustments 2019 Q3</t>
  </si>
  <si>
    <t>Regulatory adjustment</t>
  </si>
  <si>
    <t>Movement in risk levels</t>
  </si>
  <si>
    <t>Model updates/changes</t>
  </si>
  <si>
    <t xml:space="preserve">Other </t>
  </si>
  <si>
    <t>REA before regulatory adjustments 2019 Q4</t>
  </si>
  <si>
    <t>Table 58 EU MR3: IMA values for trading portfolios</t>
  </si>
  <si>
    <t>VaR (10 day 99%)</t>
  </si>
  <si>
    <t>Maximum value</t>
  </si>
  <si>
    <t>Average value</t>
  </si>
  <si>
    <t>Minimum value</t>
  </si>
  <si>
    <t>Period end</t>
  </si>
  <si>
    <t>SVaR (10 day 99%)</t>
  </si>
  <si>
    <t>IRC (10 day 99%)</t>
  </si>
  <si>
    <t>Comprehensive capital charge (99.9%)</t>
  </si>
  <si>
    <t>Table 59 EU MR4: Comparison of VaR estimates with gains/losses</t>
  </si>
  <si>
    <t>Table 60 Market risk in the trading book</t>
  </si>
  <si>
    <t>2019 High</t>
  </si>
  <si>
    <t>2019 Low</t>
  </si>
  <si>
    <t>2019 avg</t>
  </si>
  <si>
    <t xml:space="preserve">Total VaR </t>
  </si>
  <si>
    <t>Interest rate risk</t>
  </si>
  <si>
    <t>Equity risk</t>
  </si>
  <si>
    <t>Credit spread risk</t>
  </si>
  <si>
    <t>Foreign exchange risk</t>
  </si>
  <si>
    <t>Inflation risk</t>
  </si>
  <si>
    <t>Diversification effect</t>
  </si>
  <si>
    <t>Total Stressed VaR</t>
  </si>
  <si>
    <t>Incremental Risk Charge</t>
  </si>
  <si>
    <t>Comprehensive Risk Charge</t>
  </si>
  <si>
    <t>2018 High</t>
  </si>
  <si>
    <t>2018 Low</t>
  </si>
  <si>
    <t>2018 avg</t>
  </si>
  <si>
    <t>31 Dec 2017</t>
  </si>
  <si>
    <t>Parallel shock up</t>
  </si>
  <si>
    <t>Parallel shock down</t>
  </si>
  <si>
    <t>Steepener shock</t>
  </si>
  <si>
    <t>Flattener shock</t>
  </si>
  <si>
    <t>Short rates shock up</t>
  </si>
  <si>
    <t>Short rates shock down</t>
  </si>
  <si>
    <t>DKK</t>
  </si>
  <si>
    <t>SEK</t>
  </si>
  <si>
    <t>EUR</t>
  </si>
  <si>
    <t>NOK</t>
  </si>
  <si>
    <t>USD</t>
  </si>
  <si>
    <t>1) Economic value is a new internal IRRBB measure from October 2018</t>
  </si>
  <si>
    <t>Table 61 Economic value sentitivity for the banking book1, 6 scenarios from Basel Committee on Banking Supervision</t>
  </si>
  <si>
    <t xml:space="preserve">Table 62 Net interest income sensitivities for the banking book over a one-year horizon (SIIR), 6 scenarios from Basel Committee on Banking Supervision </t>
  </si>
  <si>
    <t>Book value</t>
  </si>
  <si>
    <t>Fair value</t>
  </si>
  <si>
    <t>Unrealised gains/losses</t>
  </si>
  <si>
    <t>Realised gains/losses</t>
  </si>
  <si>
    <t>Table 63 Equity holdings in the banking book</t>
  </si>
  <si>
    <t>Table 64 REA and minimum capital requirements for market risk</t>
  </si>
  <si>
    <t>Trading book</t>
  </si>
  <si>
    <t>Total VaR (IA)</t>
  </si>
  <si>
    <t>Total Stressed VaR (IA)</t>
  </si>
  <si>
    <t>Incremental Risk Charge (IA)</t>
  </si>
  <si>
    <t>Comprehensive Risk Charge (IA)</t>
  </si>
  <si>
    <t>Equity Event Risk (IA)</t>
  </si>
  <si>
    <t>Standardised Approach</t>
  </si>
  <si>
    <t>Commodity Risk</t>
  </si>
  <si>
    <t xml:space="preserve">Operational risk </t>
  </si>
  <si>
    <t>Table 65 Distribution of incidents reported</t>
  </si>
  <si>
    <t>Net stable funding ratio</t>
  </si>
  <si>
    <t>Total unweighted value (average)</t>
  </si>
  <si>
    <t>Total weighted value (average)</t>
  </si>
  <si>
    <t>Q4 19</t>
  </si>
  <si>
    <t>Q3 19</t>
  </si>
  <si>
    <t>Q2 19</t>
  </si>
  <si>
    <t>Q1 19</t>
  </si>
  <si>
    <t>Number of data points used in the calculation of averages</t>
  </si>
  <si>
    <t>High-quality liquid assets</t>
  </si>
  <si>
    <t>Total high-quality liquid assets (HQLA)</t>
  </si>
  <si>
    <t>Cash-outflows</t>
  </si>
  <si>
    <t>Retail deposits &amp; deposits from small business customers</t>
  </si>
  <si>
    <t>- Of which stable deposits</t>
  </si>
  <si>
    <t>- Of which less stable deposits</t>
  </si>
  <si>
    <t>Unsecured wholesale funding</t>
  </si>
  <si>
    <t>- Of which Operational deposits (all counterparties) and deposits in networks of cooperative banks</t>
  </si>
  <si>
    <t>- Of which Non-operational deposits (all counterparties)</t>
  </si>
  <si>
    <t>- Of which unsecured debt</t>
  </si>
  <si>
    <t>Secured wholesale funding</t>
  </si>
  <si>
    <t>Additional requirements</t>
  </si>
  <si>
    <t>- Of which outflows related to derivative exposures and other collateral requirements</t>
  </si>
  <si>
    <t>- Of which Outflows related to loss Of funding on debt products</t>
  </si>
  <si>
    <t>- Of which credit and liquidity facilities</t>
  </si>
  <si>
    <t>Other contractual funding obligations</t>
  </si>
  <si>
    <t>Other contingent funding obligations</t>
  </si>
  <si>
    <t>Total cash outflows</t>
  </si>
  <si>
    <t>Cash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</si>
  <si>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</si>
  <si>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</si>
  <si>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</si>
  <si>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</si>
  <si>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</si>
  <si>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</si>
  <si>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</si>
  <si>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</si>
  <si>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EU-20a</t>
  </si>
  <si>
    <t>Fully exempt inflows</t>
  </si>
  <si>
    <t>EU-20b</t>
  </si>
  <si>
    <t>Inflows Subject to 90% Cap</t>
  </si>
  <si>
    <t>EU-20c</t>
  </si>
  <si>
    <t>Inflows subject to 75% cap</t>
  </si>
  <si>
    <t>Liquidity buffer</t>
  </si>
  <si>
    <t>Total net cash outflows</t>
  </si>
  <si>
    <t>Liquidity coverage ratio (%)</t>
  </si>
  <si>
    <t>Table 66 LIQ 1: LCR Disclosures</t>
  </si>
  <si>
    <t>Carrying amount of encumbered assets</t>
  </si>
  <si>
    <t>Carrying amount of unencumbered assets</t>
  </si>
  <si>
    <t>Assets of the reporting institution</t>
  </si>
  <si>
    <t>Equity instruments</t>
  </si>
  <si>
    <t>of which: covered bonds</t>
  </si>
  <si>
    <t>of which: asset-backed securities</t>
  </si>
  <si>
    <t>of which: issued by general governments</t>
  </si>
  <si>
    <t>of which: issued by financial corporations</t>
  </si>
  <si>
    <t>of which: issued by non-financial corporations</t>
  </si>
  <si>
    <t>Other assets</t>
  </si>
  <si>
    <t>Loans on demand</t>
  </si>
  <si>
    <t>Loans and advances other than loans on demand</t>
  </si>
  <si>
    <t>Table 67 Encumbered and unencumbered assets</t>
  </si>
  <si>
    <t xml:space="preserve">Table 68 LCR sub-components
</t>
  </si>
  <si>
    <t>Unweighted value</t>
  </si>
  <si>
    <t>Weighted value</t>
  </si>
  <si>
    <t>Liquid assets level 1</t>
  </si>
  <si>
    <t>Liquid assets level 2</t>
  </si>
  <si>
    <t>Cap on level 2</t>
  </si>
  <si>
    <t>A. Liquid assets total</t>
  </si>
  <si>
    <t>Other funding obligations</t>
  </si>
  <si>
    <t xml:space="preserve">B. Cash outflows total </t>
  </si>
  <si>
    <t>Limit on inflows</t>
  </si>
  <si>
    <t>C. Cash inflows total</t>
  </si>
  <si>
    <t>Liquidity coverage ratio [A/(B-C)]1</t>
  </si>
  <si>
    <t>1Liquidity Coverage Ratio (LCR) according to EBA Delegated Regulation (EU) 2015/61</t>
  </si>
  <si>
    <t>Type of asset</t>
  </si>
  <si>
    <t>Cash and balances with central banks</t>
  </si>
  <si>
    <t>Securities issued or guaranteed by sovereigns, central banks or multilateral development banks</t>
  </si>
  <si>
    <t>Securities issued or guaranteed by municipalities or other public sector entities</t>
  </si>
  <si>
    <t>Other level 2 assets</t>
  </si>
  <si>
    <t>Balances with other banks</t>
  </si>
  <si>
    <t>Covered bonds issued by the own bank or related unit</t>
  </si>
  <si>
    <t>Total (including other liquid assets)</t>
  </si>
  <si>
    <t xml:space="preserve">Table 69 Liquidity buffer split by type of asset and currency
</t>
  </si>
  <si>
    <t>Level 1 Assets1</t>
  </si>
  <si>
    <t>Level 2 Assets1</t>
  </si>
  <si>
    <t>All other securities2</t>
  </si>
  <si>
    <t>1 Level 1 &amp; Level 2 assets according to EBA LCR Delegated Act</t>
  </si>
  <si>
    <t>2 All other unencumbered securities held by TALM</t>
  </si>
  <si>
    <t>2019 Q2</t>
  </si>
  <si>
    <t>2019 Q1</t>
  </si>
  <si>
    <t>1Level 1 &amp; Level 2 assets according to EBA LCR Delegated Act</t>
  </si>
  <si>
    <t>2All other unencumbered securities held by TALM</t>
  </si>
  <si>
    <t>Table 70 Historical quarterly development of the liquidity buffer</t>
  </si>
  <si>
    <t xml:space="preserve">Table 71 Net Stable Funding Ratio
</t>
  </si>
  <si>
    <t>1According to CRR2 regulation, thus equivalent 2018 figures are not available</t>
  </si>
  <si>
    <t>Liability type</t>
  </si>
  <si>
    <t>Interest rate base</t>
  </si>
  <si>
    <t>Average maturity (years)</t>
  </si>
  <si>
    <t>Deposits by credit institutions</t>
  </si>
  <si>
    <t xml:space="preserve">   - shorter than 3 months </t>
  </si>
  <si>
    <t>Euribor, etc.</t>
  </si>
  <si>
    <t xml:space="preserve">   - longer than 3 months</t>
  </si>
  <si>
    <t>Deposits and borrowings from the public</t>
  </si>
  <si>
    <t xml:space="preserve">   - Deposits on demand</t>
  </si>
  <si>
    <t>Administrative</t>
  </si>
  <si>
    <t xml:space="preserve">   - Other deposits</t>
  </si>
  <si>
    <t>Debt securities in issue</t>
  </si>
  <si>
    <t xml:space="preserve">   - Certificates of deposits</t>
  </si>
  <si>
    <t xml:space="preserve">   - Commercial papers</t>
  </si>
  <si>
    <t xml:space="preserve">   - Mortgage covered bond loans</t>
  </si>
  <si>
    <t>Fixed rate, market-based</t>
  </si>
  <si>
    <t xml:space="preserve">   - Other bond loans</t>
  </si>
  <si>
    <t>Other non-interest bearing items</t>
  </si>
  <si>
    <t>Subordinated debentures</t>
  </si>
  <si>
    <t xml:space="preserve">   - Tier 2 subordinated debenture loans</t>
  </si>
  <si>
    <t xml:space="preserve">   - Additional Tier 1 subordinated debenture loans (undated)</t>
  </si>
  <si>
    <t>Liabilities to policyholders</t>
  </si>
  <si>
    <t>Total, including life insurance operations</t>
  </si>
  <si>
    <t>Table 72 Funding sources</t>
  </si>
  <si>
    <t>Not distributed</t>
  </si>
  <si>
    <t>Loans to the public</t>
  </si>
  <si>
    <t>Loans to credit institutions</t>
  </si>
  <si>
    <t>Total assets</t>
  </si>
  <si>
    <t>Subordinated liabilities</t>
  </si>
  <si>
    <t>Other liabilities</t>
  </si>
  <si>
    <t>Table 73 Assets and liabilities split by currency</t>
  </si>
  <si>
    <t>3-12 months</t>
  </si>
  <si>
    <t xml:space="preserve">Table 74 Maturity analysis for assets and liabilities
</t>
  </si>
  <si>
    <t>Table 75 Maturity analysis of assets and liabilities, split by currency</t>
  </si>
  <si>
    <t>Other tables</t>
  </si>
  <si>
    <t xml:space="preserve">EU LI1 Differences Between accounting and regulatory </t>
  </si>
  <si>
    <t>Transitional own funds</t>
  </si>
  <si>
    <t>Leverage ratio</t>
  </si>
  <si>
    <t>Countercyclical capital buffers</t>
  </si>
  <si>
    <t>EU LI3 Specification of undertakings</t>
  </si>
  <si>
    <t>Capital and risk information navigation guide</t>
  </si>
  <si>
    <t>Information not disclosed due to non-material, proprietary or confidential nature</t>
  </si>
  <si>
    <t xml:space="preserve">Table 76 EU LI 1: Differences between accounting and regulatory scopes of consolidation and the mapping of financial statement categories with regulatory risk categories
</t>
  </si>
  <si>
    <t>Carrying values of items</t>
  </si>
  <si>
    <t>Carrying values as reported in published financial statements</t>
  </si>
  <si>
    <t>Carrying values under scope of regulatory consolidation 1</t>
  </si>
  <si>
    <t>Subject to the credit risk framework</t>
  </si>
  <si>
    <t>Subject to the counterparty credit risk framework</t>
  </si>
  <si>
    <t>Subject to the securitisation framework</t>
  </si>
  <si>
    <t>Subject to the market risk framework</t>
  </si>
  <si>
    <t>Not subject to capital requirements or subject to deduction from capital2</t>
  </si>
  <si>
    <t>Assets</t>
  </si>
  <si>
    <t>Loans to central banks</t>
  </si>
  <si>
    <t>Interest bearing securities</t>
  </si>
  <si>
    <t>Financial instruments pledged as collateral</t>
  </si>
  <si>
    <t>Shares</t>
  </si>
  <si>
    <t>Assets in pooled schemes and unit-linked investment contracts</t>
  </si>
  <si>
    <t>Fair value changes of the hedged items in portfolio hedge of interest rate risk</t>
  </si>
  <si>
    <t>Investments in associated undertakings and joint ventures</t>
  </si>
  <si>
    <t>Properties and equipment</t>
  </si>
  <si>
    <t>Investment properties</t>
  </si>
  <si>
    <t>Current tax assets</t>
  </si>
  <si>
    <t>Retirement benefit assets</t>
  </si>
  <si>
    <t>Prepaid expenses and accrued income</t>
  </si>
  <si>
    <t>Assets held for sale</t>
  </si>
  <si>
    <t>Liabilities</t>
  </si>
  <si>
    <t>Deposits in pooled schemes and unit-linked investment contracts</t>
  </si>
  <si>
    <t>Fair value changes of  the hedged items in portfolio hedge of interest rate risk</t>
  </si>
  <si>
    <t>Current tax liabilities</t>
  </si>
  <si>
    <t>Accrued expenses and prepaid income</t>
  </si>
  <si>
    <t>Deferred tax liabilites</t>
  </si>
  <si>
    <t>Retirement benefit obligations</t>
  </si>
  <si>
    <t>Liabilities held for sale</t>
  </si>
  <si>
    <t>Total equity</t>
  </si>
  <si>
    <t>Total liabilities</t>
  </si>
  <si>
    <t>1 The amounts shown in column b do not always equal the sum of the amounts shown in the remaining columns (c to g) of the table, since there are items that attract capital charges according to more than one risk category framework. These items are derivatives and repurchase agreements which are shown in the market risk and counterparty credit risk framework.</t>
  </si>
  <si>
    <t>2 Provisions for loans are shown in the column g as negative values.</t>
  </si>
  <si>
    <t>Items subject to:</t>
  </si>
  <si>
    <t>Total1</t>
  </si>
  <si>
    <t>Credit risk framework</t>
  </si>
  <si>
    <t>Counterparty credit risk framework</t>
  </si>
  <si>
    <t>Securitisation framework 2,3</t>
  </si>
  <si>
    <t>Market risk framework4</t>
  </si>
  <si>
    <t>Assets carrying value amount under the scope of regulatory consolidation (as per template EU LI 1)</t>
  </si>
  <si>
    <t>Liabilities carrying amount under the regulatory scope of consolidation (as per template EU LI1)</t>
  </si>
  <si>
    <t xml:space="preserve">Total net amount under the regulatory scope of consolidation </t>
  </si>
  <si>
    <t>Off-balance sheet amounts (pre CRM and CCF)</t>
  </si>
  <si>
    <t>Differences due to different netting rules</t>
  </si>
  <si>
    <t>Differences due to considerations for provisions in Standardised Approach</t>
  </si>
  <si>
    <t>Differences due to regulatory future exposures</t>
  </si>
  <si>
    <t>Differences due to credit mitigation techniques (CRMs), with substitution effects on the exposure</t>
  </si>
  <si>
    <t>Differences due to Credit Conversion Factor (CCF)</t>
  </si>
  <si>
    <t>Differences due to the use of financial collateral in Standardised Approach</t>
  </si>
  <si>
    <t>Other differences not stated above</t>
  </si>
  <si>
    <t>Exposure amounts considered for regulatory purposes</t>
  </si>
  <si>
    <t xml:space="preserve">1 Total values in column a may not equal the sum of the remaining columns in this table (b to e) as certain items are treated under both the counterparty credit risk as well as the market risk framework (as per template EU LI 1). </t>
  </si>
  <si>
    <t>2 As Nordea's securitisation position is synthetic, all is classified as on-balance according to the securitisation framework. But as the securitisation is including e.g. loan promises, an off-balance part is deducted, stemming from adjustments related to Credit Conversion Factors (CCFs).</t>
  </si>
  <si>
    <t>3 Sponsor activities are not included in the table above (although are included in the Securitisation chapter).</t>
  </si>
  <si>
    <t>4 Exposure at default is not calculated under the market risk framework, resulting in a difference between carrying values and exposure amounts considered for regulatory purposes. Therefore the total amount of carrying values according to the market risk framework is deducted in the final line Other differences not stated above.</t>
  </si>
  <si>
    <t>Table 78 EU LI 2: Main sources of differences between regulatory exposure amounts and carrying values in financial statements</t>
  </si>
  <si>
    <t>Table 79 Transitional own funds disclosure template</t>
  </si>
  <si>
    <t>(A) Amount at disclosure date</t>
  </si>
  <si>
    <t>(B) regulation (EU) no 575/2013 article reference</t>
  </si>
  <si>
    <t xml:space="preserve">(C) Amounts subject to pre-regulation treatment or prescribed residual amount of regulation, (EU) no 575/2013 </t>
  </si>
  <si>
    <t>Common Equity Tier 1 capital: instruments and reserves</t>
  </si>
  <si>
    <t xml:space="preserve">Capital instruments and the related share premium accounts </t>
  </si>
  <si>
    <t xml:space="preserve">26 (1), 27, 28, 29, EBA list 26 (3) </t>
  </si>
  <si>
    <t xml:space="preserve">of which: Instrument type 1 </t>
  </si>
  <si>
    <t xml:space="preserve">EBA list 26 (3) </t>
  </si>
  <si>
    <t xml:space="preserve">of which: Instrument type 2 </t>
  </si>
  <si>
    <t xml:space="preserve">of which: Instrument type 3 </t>
  </si>
  <si>
    <t xml:space="preserve">Retained earnings </t>
  </si>
  <si>
    <t xml:space="preserve">26 (1) (c) </t>
  </si>
  <si>
    <t xml:space="preserve">Accumulated other comprehensive income (and other reserves, to include unrealised gains and losses under the applicable accounting standards) </t>
  </si>
  <si>
    <t xml:space="preserve">26 (1) </t>
  </si>
  <si>
    <t xml:space="preserve">3a </t>
  </si>
  <si>
    <t xml:space="preserve">Funds for general banking risk </t>
  </si>
  <si>
    <t xml:space="preserve">26 (1) (f) </t>
  </si>
  <si>
    <t xml:space="preserve">Amount of qualifying items referred to in Article 484 (3) and the related share premium accounts subject to phase out from CET1 </t>
  </si>
  <si>
    <t xml:space="preserve">486 (2) </t>
  </si>
  <si>
    <t xml:space="preserve">Public sector capital injections grandfathered until 1 January 2018 </t>
  </si>
  <si>
    <t xml:space="preserve">483 (2) </t>
  </si>
  <si>
    <t xml:space="preserve">Minority Interests (amount allowed in consolidated CET1) </t>
  </si>
  <si>
    <t xml:space="preserve">84, 479, 480 </t>
  </si>
  <si>
    <t xml:space="preserve">5a </t>
  </si>
  <si>
    <t xml:space="preserve">Independently reviewed interim profits net of any foreseeable charge or dividend </t>
  </si>
  <si>
    <t xml:space="preserve">26 (2) </t>
  </si>
  <si>
    <t xml:space="preserve">Common Equity Tier 1 (CET1) capital before regulatory adjustments </t>
  </si>
  <si>
    <t xml:space="preserve">Common Equity Tier 1 (CET1) capital: regulatory adjustments </t>
  </si>
  <si>
    <t xml:space="preserve">Additional value adjustments (negative amount) </t>
  </si>
  <si>
    <t xml:space="preserve">34, 105 </t>
  </si>
  <si>
    <t xml:space="preserve">Intangible assets (net of related tax liability) (negative amount) </t>
  </si>
  <si>
    <t xml:space="preserve">36 (1) (b), 37, 472 (4) </t>
  </si>
  <si>
    <t xml:space="preserve">Empty Set in the EU </t>
  </si>
  <si>
    <t>NA</t>
  </si>
  <si>
    <t xml:space="preserve">Deferred tax assets that rely on future profitability excluding those arising from temporary differences (net of related tax liability where the conditions in Article 38 (3) are met) (negative amount) </t>
  </si>
  <si>
    <t xml:space="preserve">36 (1) (c), 38, 472 (5) </t>
  </si>
  <si>
    <t xml:space="preserve">Fair value reserves related to gains or losses on cash flow hedges </t>
  </si>
  <si>
    <t xml:space="preserve">33 (a) </t>
  </si>
  <si>
    <t xml:space="preserve">Negative amounts resulting from the calculation of expected loss amounts </t>
  </si>
  <si>
    <t xml:space="preserve">36 (1) (d), 40, 159, 472 (6) </t>
  </si>
  <si>
    <t xml:space="preserve">Any increase in equity that results from securitised assets (negative amount) </t>
  </si>
  <si>
    <t xml:space="preserve">32 (1) </t>
  </si>
  <si>
    <t xml:space="preserve">Gains or losses on liabilities valued at fair value resulting from changes in own credit standing </t>
  </si>
  <si>
    <t xml:space="preserve">33 (b) </t>
  </si>
  <si>
    <t xml:space="preserve">Defined-benefit pension fund assets (negative amount) </t>
  </si>
  <si>
    <t xml:space="preserve">36 (1) (e) , 41, 472 (7) </t>
  </si>
  <si>
    <t xml:space="preserve">Direct and indirect holdings by an institution of own CET1 instruments (negative amount) </t>
  </si>
  <si>
    <t xml:space="preserve">36 (1) (f), 42, 472 (8) </t>
  </si>
  <si>
    <t xml:space="preserve">Holdings of the CET1 instruments of financial sector entities where those entities have reciprocal cross holdings with the institution designed to inflate artificially the own funds of the institution (negative amount) </t>
  </si>
  <si>
    <t xml:space="preserve">36 (1) (g), 44, 472 (9) </t>
  </si>
  <si>
    <t xml:space="preserve">Direct and indirect holdings by the institution of the CET1 instruments of financial sector entities where the institution does not have a significant investment in those entities (amount above the 10% threshold and net of eligible short positions) (negative amount) </t>
  </si>
  <si>
    <t xml:space="preserve">36 (1) (h), 43, 45, 46, 49 (2) (3), 79, 472 (10) </t>
  </si>
  <si>
    <t xml:space="preserve">Direct, indirect and synthetic holdings by the institution of the CET1 instruments of financial sector entities where the institution has a significant investment in those entities (amount above 10% threshold and net of eligible short positions) (negative amount) </t>
  </si>
  <si>
    <t xml:space="preserve">36 (1) (i), 43, 45, 47, 48 (1) (b), 49 (1) to (3), 79, 470, 472 (11) </t>
  </si>
  <si>
    <t xml:space="preserve">20a </t>
  </si>
  <si>
    <t xml:space="preserve">Exposure amount of the following items which qualify for a RW of 1250%, where the institution opts for the deduction alternative </t>
  </si>
  <si>
    <t xml:space="preserve">36 (1) (k) </t>
  </si>
  <si>
    <t xml:space="preserve">20b </t>
  </si>
  <si>
    <t xml:space="preserve">of which: qualifying holdings outside the financial sector (negative amount) </t>
  </si>
  <si>
    <t xml:space="preserve">36 (1) (k) (i), 89 to 91 </t>
  </si>
  <si>
    <t xml:space="preserve">20c </t>
  </si>
  <si>
    <t xml:space="preserve">of which: securitisation positions (negative amount) </t>
  </si>
  <si>
    <t>36 (1) (k) (ii)
243 (1) (b)
244 (1) (b) 258</t>
  </si>
  <si>
    <t xml:space="preserve">20d </t>
  </si>
  <si>
    <t xml:space="preserve">of which: free deliveries (negative amount) </t>
  </si>
  <si>
    <t xml:space="preserve">36 (1) (k) (iii), 379 (3) </t>
  </si>
  <si>
    <t xml:space="preserve">Deferred tax assets arising from temporary differences (amount above 10% threshold, net of related tax liability where the conditions in 38 (3) are met) (negative amount) </t>
  </si>
  <si>
    <t xml:space="preserve">36 (1) (c), 38, 48 (1) (a), 470, 472 (5) </t>
  </si>
  <si>
    <t xml:space="preserve">Amount exceeding the 15% threshold (negative amount) </t>
  </si>
  <si>
    <t>48 (1)</t>
  </si>
  <si>
    <t xml:space="preserve">of which: direct and indirect holdings by the institution of the CET1 instruments of financial sector entities where the institution has a significant investment in those entities </t>
  </si>
  <si>
    <t xml:space="preserve">36 (1) (i), 48 (1) (b), 470, 472 (11) </t>
  </si>
  <si>
    <t>of which: deferred tax assets arising from temporary differences</t>
  </si>
  <si>
    <t xml:space="preserve">25a </t>
  </si>
  <si>
    <t xml:space="preserve">Losses for the current financial year (negative amount) </t>
  </si>
  <si>
    <t xml:space="preserve">36 (1) (a), 472 (3) </t>
  </si>
  <si>
    <t xml:space="preserve">25b </t>
  </si>
  <si>
    <t xml:space="preserve">Foreseeable tax charges relating to CET1 items (negative amount) </t>
  </si>
  <si>
    <t xml:space="preserve">36 (1) (l) </t>
  </si>
  <si>
    <t xml:space="preserve">Regulatory adjustments applied to Common Equity Tier 1 in respect of amounts subject to pre-CRR treatment </t>
  </si>
  <si>
    <t xml:space="preserve">26a </t>
  </si>
  <si>
    <t xml:space="preserve">Regulatory adjustments relating to unrealised gains and losses pursuant to Articles 467 and 468 </t>
  </si>
  <si>
    <t>Of which: …filter for unrealised loss on AFS debt instruments</t>
  </si>
  <si>
    <t>Of which: …filter for unrealised loss 2</t>
  </si>
  <si>
    <t>Of which: …filter for unrealised gain on AFS debt instruments</t>
  </si>
  <si>
    <t>Of which: …filter for unrealised gain 2</t>
  </si>
  <si>
    <t xml:space="preserve">26b </t>
  </si>
  <si>
    <t xml:space="preserve">Amount to be deducted from or added to Common Equity Tier 1 capital with regard to additional filters and deductions required pre CRR </t>
  </si>
  <si>
    <t>Of which: …</t>
  </si>
  <si>
    <t xml:space="preserve">Qualifying AT1 deductions that exceed the AT1 capital of the institution (negative amount) </t>
  </si>
  <si>
    <t xml:space="preserve">36 (1) (j) </t>
  </si>
  <si>
    <t xml:space="preserve">Total regulatory adjustments to Common equity Tier 1 (CET1) </t>
  </si>
  <si>
    <t xml:space="preserve">Common Equity Tier 1 (CET1) capital </t>
  </si>
  <si>
    <t xml:space="preserve">Additional Tier 1 (AT1) capital: instruments </t>
  </si>
  <si>
    <t>51, 52</t>
  </si>
  <si>
    <t>of which: classified as equity under applicable accounting standards</t>
  </si>
  <si>
    <t>of which: classified as liabilities under applicable accounting standards</t>
  </si>
  <si>
    <t xml:space="preserve">Amount of qualifying items referred to in Article 484 (4) and the related share premium accounts subject to phase out from AT1 </t>
  </si>
  <si>
    <t xml:space="preserve">486 (3) </t>
  </si>
  <si>
    <t xml:space="preserve">483 (3) </t>
  </si>
  <si>
    <t xml:space="preserve">Qualifying Tier 1 capital included in consolidated AT1 capital (including minority interests not included in row 5) issued by subsidiaries and held by third parties </t>
  </si>
  <si>
    <t xml:space="preserve">85, 86, 480 </t>
  </si>
  <si>
    <t>of which: instruments issued by subsidiaries subject to phase out</t>
  </si>
  <si>
    <t xml:space="preserve">Additional Tier 1 (AT1) capital before regulatory adjustments </t>
  </si>
  <si>
    <t xml:space="preserve">Additional Tier 1 (AT1) capital: regulatory adjustments </t>
  </si>
  <si>
    <t xml:space="preserve">Direct and indirect holdings by an institution of own AT1 Instruments (negative amount) </t>
  </si>
  <si>
    <t xml:space="preserve">52 (1) (b), 56 (a), 57, 475 (2) </t>
  </si>
  <si>
    <t xml:space="preserve">Holdings of the AT1 instruments of financial sector entities where those entities have reciprocal cross holdings with the institution designed to inflate artificially the own funds of the institution (negative amount) </t>
  </si>
  <si>
    <t xml:space="preserve">56 (b), 58, 475 (3) </t>
  </si>
  <si>
    <t xml:space="preserve">Direct and indirect holdings of the AT1 instruments of financial sector entities where the institution does not have a significant investment in those entities (amount above the 10% threshold and net of eligible short positions) (negative amount) </t>
  </si>
  <si>
    <t xml:space="preserve">56 (c), 59, 60, 79, 475 (4) </t>
  </si>
  <si>
    <t xml:space="preserve">Direct and indirect holdings by the institution of the AT1 instruments of financial sector entities where the institution has a significant investment in those entities (amount above the 10% threshold net of eligible short positions) (negative amount) </t>
  </si>
  <si>
    <t xml:space="preserve">56 (d), 59, 79, 475 (4) </t>
  </si>
  <si>
    <t xml:space="preserve">Regulatory adjustments applied to additional tier 1 in respect of amounts subject to pre-CRR treatment and transitional treatments subject to phase out as prescribed in Regulation (EU) No 575/2013 (i.e. CRR residual amounts) </t>
  </si>
  <si>
    <t xml:space="preserve">41a </t>
  </si>
  <si>
    <t xml:space="preserve">Residual amounts deducted from Additional Tier 1 capital with regard to deduction from Common Equity Tier 1 capital during the transitional period pursuant to article 472 of Regulation (EU) No 575/2013 </t>
  </si>
  <si>
    <t xml:space="preserve">472, 472(3)(a), 472 (4), 472 (6), 472 (8) (a), 472 (9), 472 (10) (a), 472 (11) (a) </t>
  </si>
  <si>
    <t>Of which shortfall</t>
  </si>
  <si>
    <t xml:space="preserve">41b </t>
  </si>
  <si>
    <t xml:space="preserve">Residual amounts deducted from Additional Tier 1 capital with regard to deduction from Tier 2 capital during the transitional period pursuant to article 475 of Regulation (EU) No 575/2013 </t>
  </si>
  <si>
    <t xml:space="preserve">477, 477 (3), 477 (4) (a) </t>
  </si>
  <si>
    <t>Of which items to be detailed line by line, e.g. Reciprocal cross holdings in Tier 2 instruments, direct holdings of non-significant investments in the capital of other financial sector entities, etc</t>
  </si>
  <si>
    <t xml:space="preserve">41c </t>
  </si>
  <si>
    <t xml:space="preserve">Amount to be deducted from or added to Additional Tier 1 capital with regard to additional filters and deductions required pre- CRR </t>
  </si>
  <si>
    <t xml:space="preserve">467, 468, 481 </t>
  </si>
  <si>
    <t xml:space="preserve">Of which: …possible filter for unrealised losses </t>
  </si>
  <si>
    <t xml:space="preserve">Of which: …possible filter for unrealised gains </t>
  </si>
  <si>
    <t xml:space="preserve">Of which: … </t>
  </si>
  <si>
    <t xml:space="preserve">Qualifying T2 deductions that exceed the T2 capital of the institution (negative amount) </t>
  </si>
  <si>
    <t xml:space="preserve">56 (e) </t>
  </si>
  <si>
    <t xml:space="preserve">Total regulatory adjustments to Additional Tier 1 (AT1) capital </t>
  </si>
  <si>
    <t xml:space="preserve">Additional Tier 1 (AT1) capital </t>
  </si>
  <si>
    <t xml:space="preserve">Tier 1 capital (T1 = CET1 + AT1) </t>
  </si>
  <si>
    <t xml:space="preserve">Tier 2 (T2) capital: instruments and provisions </t>
  </si>
  <si>
    <t xml:space="preserve">62, 63 </t>
  </si>
  <si>
    <t>Amount of qualifying items referred to in Article 484 (5) and the related share premium accounts subject to phase out from T2</t>
  </si>
  <si>
    <t xml:space="preserve">486 (4) </t>
  </si>
  <si>
    <t xml:space="preserve">483 (4) </t>
  </si>
  <si>
    <t xml:space="preserve">Qualifying own funds instruments included in consolidated T2 capital (including minority interests and AT1 instruments not included in rows 5 or 34) issued by subsidiaries and held by third parties </t>
  </si>
  <si>
    <t xml:space="preserve">87, 88, 480 </t>
  </si>
  <si>
    <t xml:space="preserve">of which: instruments issued by subsidiaries subject to phase out </t>
  </si>
  <si>
    <t xml:space="preserve">Credit risk adjustments </t>
  </si>
  <si>
    <t xml:space="preserve">62 (c) &amp; (d) </t>
  </si>
  <si>
    <t xml:space="preserve">Tier 2 (T2) capital before regulatory adjustments </t>
  </si>
  <si>
    <t xml:space="preserve">Tier 2 (T2) capital: regulatory adjustments </t>
  </si>
  <si>
    <t xml:space="preserve">Direct and indirect holdings by an institution of own T2 instruments and subordinated loans (negative amount) </t>
  </si>
  <si>
    <t xml:space="preserve">63 (b) (i), 66 (a), 67, 477 (2) </t>
  </si>
  <si>
    <t>Holdings of the T2 instruments and subordinated loans of financial sector entities where those entities have reciprocal cross holdings with the institution designed to inflate artificially the own funds of the institution (negative amount)</t>
  </si>
  <si>
    <t xml:space="preserve">66 (b), 68, 477 (3) </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</si>
  <si>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</si>
  <si>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 xml:space="preserve">66 (c), 69, 70, 79, 477 (4) </t>
  </si>
  <si>
    <t xml:space="preserve">54a </t>
  </si>
  <si>
    <t xml:space="preserve">Of which new holdings not subject to transitional arrangements </t>
  </si>
  <si>
    <t xml:space="preserve">54b </t>
  </si>
  <si>
    <t xml:space="preserve">Of which holdings existing before 1 January 2013 and subject to transitional arrangements </t>
  </si>
  <si>
    <t xml:space="preserve">Direct and indirect holdings by the institution of the T2 instruments and subordinated loans of financial sector entities where the institution has a significant investment in those entities (net of eligible short positions) (negative amount) </t>
  </si>
  <si>
    <t xml:space="preserve">66 (d), 69, 79, 477 (4) </t>
  </si>
  <si>
    <t xml:space="preserve">Regulatory adjustments applied to tier 2 in respect of amounts subject to pre-CRR treatment and transitional treatments subject to phase out as prescribed in Regulation (EU) No 575/2013 (i.e. CRR residual amounts) </t>
  </si>
  <si>
    <t xml:space="preserve">56a </t>
  </si>
  <si>
    <t xml:space="preserve">Residual amounts deducted from Tier 2capital with regard to deduction from Common Equity Tier 1 capital during the transitional period pursuant to article 472 of Regulation (EU) No 575/2013 </t>
  </si>
  <si>
    <t xml:space="preserve">56b </t>
  </si>
  <si>
    <t xml:space="preserve">Residual amounts deducted from Tier 2 capital with regard to deduction from Additional Tier 1 capital during the transitional period pursuant to article 475 of Regulation (EU) No 575/2013 </t>
  </si>
  <si>
    <t xml:space="preserve">475, 475 (2) (a), 475 (3), 475 (4) (a) </t>
  </si>
  <si>
    <t xml:space="preserve">Of which items to be detailed line by line, e.g. reciprocal cross holdings in at1 instruments, direct holdings of non significant investments in the capital of other financial sector entities, etc </t>
  </si>
  <si>
    <t xml:space="preserve">56c </t>
  </si>
  <si>
    <t xml:space="preserve">Amount to be deducted from or added to Tier 2 capital with regard to additional filters and deductions required pre CRR </t>
  </si>
  <si>
    <t xml:space="preserve">Total regulatory adjustments to Tier 2 (T2) capital </t>
  </si>
  <si>
    <t xml:space="preserve">Tier 2 (T2) capital </t>
  </si>
  <si>
    <t xml:space="preserve">Total capital (TC = T1 + T2) </t>
  </si>
  <si>
    <t xml:space="preserve">59a </t>
  </si>
  <si>
    <t xml:space="preserve">Risk weighted assets in respect of amounts subject to pre-CRR treatment and transitional treatments subject to phase out as prescribed in Regulation (EU) No 575/2013(i.e. CRR residual amounts) </t>
  </si>
  <si>
    <t xml:space="preserve">Of which: …items not deducted from CET1 (Regulation (EU) No 575/2013residual amounts) 
(items to be detailed line by line, e.g. Deferred tax assets that rely on future profitability net of related tax liablity, indirect holdings of own CET1, etc) 
</t>
  </si>
  <si>
    <t xml:space="preserve">472, 472 (5), 472 (8) (b), 472 (10) (b), 472 (11) (b) </t>
  </si>
  <si>
    <t xml:space="preserve">Of which: …items not deducted from AT1 items (Regulation (EU) No 575/2013residual amounts) 
(items to be detailed line by line, e.g. Reciprocal cross holdings in T2 instruments, direct holdings of non-significant investments in the capital of other financial 
</t>
  </si>
  <si>
    <t xml:space="preserve">475, 475 (2) (b), 475 (2) (c), 475 (4) (b) </t>
  </si>
  <si>
    <t xml:space="preserve">sector entities, etc) </t>
  </si>
  <si>
    <t xml:space="preserve">Items not deducted from T2 items (Regulation (EU) No 575/2013residual amounts) 
(items to be detailed line by line, e.g. Indirect holdings of own t2 instruments, indirect holdings of non significant investments in the capital of other financial sector entities, indirect holdings of significant investments in the capital of other financial sector entities etc) 
</t>
  </si>
  <si>
    <t xml:space="preserve">477, 477 (2) (b), 477 (2) (c), 477 (4) (b) </t>
  </si>
  <si>
    <t xml:space="preserve">Total risk weighted assets </t>
  </si>
  <si>
    <t xml:space="preserve">Capital ratios and buffers </t>
  </si>
  <si>
    <t xml:space="preserve">Common Equity Tier 1 (as a percentage of risk exposure amount) </t>
  </si>
  <si>
    <t xml:space="preserve">92 (2) (a), 465 </t>
  </si>
  <si>
    <t xml:space="preserve">Tier 1 (as a percentage of risk exposure amount) </t>
  </si>
  <si>
    <t xml:space="preserve">92 (2) (b), 465 </t>
  </si>
  <si>
    <t xml:space="preserve">Total capital (as a percentage of risk exposure amount) </t>
  </si>
  <si>
    <t xml:space="preserve">92 (2) (c) </t>
  </si>
  <si>
    <t xml:space="preserve">Institution specific buffer requirement (CET1 requirement in accordance with article 92 (1) (a) plus capital conservation and countercyclical buffer requirements, plus systemic risk buffer, plus the systemically important institution buffer (G-SII or O-SII buffer), expressed as a percentage of risk exposure amount) </t>
  </si>
  <si>
    <t xml:space="preserve">CRD 128, 129, 130 </t>
  </si>
  <si>
    <t xml:space="preserve">of which: capital conservation buffer requirement </t>
  </si>
  <si>
    <t xml:space="preserve">of which: countercyclical buffer requirement </t>
  </si>
  <si>
    <t xml:space="preserve">of which: systemic risk buffer requirement </t>
  </si>
  <si>
    <t xml:space="preserve">67a </t>
  </si>
  <si>
    <t xml:space="preserve">of which: Global Systemically Important Institution (G-SII) or Other Systemically Important Institution (O-SII) buffer </t>
  </si>
  <si>
    <t xml:space="preserve">CRD 131 </t>
  </si>
  <si>
    <t xml:space="preserve">Common Equity Tier 1 available to meet buffers (as a percentage of risk exposure amount) </t>
  </si>
  <si>
    <t xml:space="preserve">CRD 128 </t>
  </si>
  <si>
    <t xml:space="preserve">[non relevant in EU regulation] </t>
  </si>
  <si>
    <t xml:space="preserve">Amounts below the thresholds for deduction (before risk weighting) </t>
  </si>
  <si>
    <t xml:space="preserve">Direct and indirect holdings of the capital of financial sector entities where the institution does not have a significant investment in those entities (amount below 10% threshold and net of eligible short positions) </t>
  </si>
  <si>
    <t xml:space="preserve">36 (1) (h), 45, 46, 472 (10) 
56 (c), 59, 60, 475 (4) 
66 (c), 69, 70, 477 (4) </t>
  </si>
  <si>
    <t xml:space="preserve">Direct and indirect holdings by the institution of the CET 1 instruments of financial sector entities where the institution has a significant investment in those entities (amount below 10% threshold and net of eligible short positions) </t>
  </si>
  <si>
    <t xml:space="preserve">36 (1) (i), 45, 48, 470, 472 (11) </t>
  </si>
  <si>
    <t xml:space="preserve">Deferred tax assets arising from temporary differences (amount below 10% threshold, net of related tax liability where the conditions in Article 38 (3) are met) </t>
  </si>
  <si>
    <t xml:space="preserve">36 (1) (c), 38, 48, 470, 472 (5) </t>
  </si>
  <si>
    <t xml:space="preserve">Applicable caps on the inclusion of provisions in Tier 2 </t>
  </si>
  <si>
    <t xml:space="preserve">Credit risk adjustments included in T2 in respect of exposures subject to standardised approach (prior to the application of the cap) </t>
  </si>
  <si>
    <t xml:space="preserve">Cap on inclusion of credit risk adjustments in T2 under standardised approach </t>
  </si>
  <si>
    <t xml:space="preserve">Credit risk adjustments included in T2 in respect of exposures subject to internal ratings-based approach (prior to the application of the cap) </t>
  </si>
  <si>
    <t xml:space="preserve">Cap for inclusion of credit risk adjustments in T2 under internal ratings-based approach </t>
  </si>
  <si>
    <t xml:space="preserve">Capital instruments subject to phase-out arrangements (only applicable between 1 Jan 2013 and 1 Jan 2022) </t>
  </si>
  <si>
    <t xml:space="preserve">Current cap on CET1 instruments subject to phase out arrangements </t>
  </si>
  <si>
    <t xml:space="preserve">484 (3), 486 (2) &amp; (5) </t>
  </si>
  <si>
    <t xml:space="preserve">Amount excluded from CET1 due to cap (excess over cap after redemptions and maturities) </t>
  </si>
  <si>
    <t xml:space="preserve">Current cap on AT1 instruments subject to phase out arrangements </t>
  </si>
  <si>
    <t xml:space="preserve">484 (4), 486 (3) &amp; (5) </t>
  </si>
  <si>
    <t xml:space="preserve">Amount excluded from AT1 due to cap (excess over cap after redemptions and maturities) </t>
  </si>
  <si>
    <t xml:space="preserve">Current cap on T2 instruments subject to phase out arrangements </t>
  </si>
  <si>
    <t xml:space="preserve">484 (5), 486 (4) &amp; (5) </t>
  </si>
  <si>
    <t xml:space="preserve">Amount excluded from T2 due to cap (excess over cap after redemptions and maturities) </t>
  </si>
  <si>
    <t>Table 80 Leverage ratio disclosure templates</t>
  </si>
  <si>
    <t>Applicable Amounts</t>
  </si>
  <si>
    <t>Total assets as per published financial statements</t>
  </si>
  <si>
    <t>Adjustments for securities financing transactions "SFTs"</t>
  </si>
  <si>
    <t>Adjustment for off-balance sheet items (ie conversion to credit equivalent amounts of off-balance sheet exposures)</t>
  </si>
  <si>
    <t>Total leverage ratio exposure</t>
  </si>
  <si>
    <t>Table LRCom: Leverage ratio common disclosure</t>
  </si>
  <si>
    <t>CRR leverage ratio exposures</t>
  </si>
  <si>
    <t>On-balance sheet exposures (excluding derivatives and SFTs)</t>
  </si>
  <si>
    <t>Derivative exposures</t>
  </si>
  <si>
    <t>Replacement cost associated with all derivatives transactions (ie net of eligible cash variation margin)</t>
  </si>
  <si>
    <t>Add-on amounts for PFE associated with all derivatives transactions (mark-to-market method)</t>
  </si>
  <si>
    <t>Securities financing transaction exposures</t>
  </si>
  <si>
    <t>Other off-balance sheet exposures</t>
  </si>
  <si>
    <t>Capital and total exposures</t>
  </si>
  <si>
    <t>Tier 1 capital</t>
  </si>
  <si>
    <t>Total leverage ratio exposures (sum of lines 3, 11, 16, 19, EU-19a and EU-19b)</t>
  </si>
  <si>
    <t>EU-1</t>
  </si>
  <si>
    <t>Total on-balance sheet exposures (excluding derivatives, SFTs, and exempted exposures), of which:</t>
  </si>
  <si>
    <t>EU-2</t>
  </si>
  <si>
    <t>Trading book exposures</t>
  </si>
  <si>
    <t>EU-3</t>
  </si>
  <si>
    <t>Banking book exposures, of which:</t>
  </si>
  <si>
    <t>EU-4</t>
  </si>
  <si>
    <t xml:space="preserve">  Covered bonds</t>
  </si>
  <si>
    <t>EU-5</t>
  </si>
  <si>
    <t xml:space="preserve">  Exposures treated as sovereigns</t>
  </si>
  <si>
    <t>EU-6</t>
  </si>
  <si>
    <t xml:space="preserve">  Exposures to regional governments, MDB, international organisations and PSE NOT treated as sovereigns</t>
  </si>
  <si>
    <t>EU-7</t>
  </si>
  <si>
    <t xml:space="preserve">  Institutions</t>
  </si>
  <si>
    <t>EU-8</t>
  </si>
  <si>
    <t xml:space="preserve">  Secured by mortgages of immovable properties</t>
  </si>
  <si>
    <t>EU-9</t>
  </si>
  <si>
    <t xml:space="preserve">  Retail exposures</t>
  </si>
  <si>
    <t>EU-10</t>
  </si>
  <si>
    <t xml:space="preserve">  Corporate</t>
  </si>
  <si>
    <t>EU-11</t>
  </si>
  <si>
    <t xml:space="preserve">  Exposures in default</t>
  </si>
  <si>
    <t>EU-12</t>
  </si>
  <si>
    <t xml:space="preserve">  Other exposures (eg equity, securitisations, and other non-credit obligation assets)</t>
  </si>
  <si>
    <t>Table 83 Loans to corporate customers, split by size of loans</t>
  </si>
  <si>
    <t>Loan size, EURm</t>
  </si>
  <si>
    <t>Table 85 Countercyclical capital buffer</t>
  </si>
  <si>
    <t>General credit risk exposures</t>
  </si>
  <si>
    <t>Own funds requirement</t>
  </si>
  <si>
    <t>General credit exposures</t>
  </si>
  <si>
    <t xml:space="preserve">Own funds requirement weight </t>
  </si>
  <si>
    <t>Counter-cyclical buffer rate</t>
  </si>
  <si>
    <t>Countries with existing CCyB rate</t>
  </si>
  <si>
    <t>France</t>
  </si>
  <si>
    <t>United Kingdom</t>
  </si>
  <si>
    <t>Ireland</t>
  </si>
  <si>
    <t>Lithuania</t>
  </si>
  <si>
    <t>Bulgaria</t>
  </si>
  <si>
    <t>CCyB Rates</t>
  </si>
  <si>
    <t>Total risk exposure amount</t>
  </si>
  <si>
    <t>Institution specific countercyclical capital buffer rate</t>
  </si>
  <si>
    <t>Institution specific countercyclical capital buffer requirement</t>
  </si>
  <si>
    <t xml:space="preserve">Table 86 LI3 Specification of undertakings </t>
  </si>
  <si>
    <t>Estonia</t>
  </si>
  <si>
    <t>Table 87 Capital and risk information guide</t>
  </si>
  <si>
    <t>Reference</t>
  </si>
  <si>
    <t>Annual Report</t>
  </si>
  <si>
    <t>End of year results</t>
  </si>
  <si>
    <t>Minimum capital requirements</t>
  </si>
  <si>
    <t>Business area results</t>
  </si>
  <si>
    <t>Development of REA</t>
  </si>
  <si>
    <t>Development of Own funds</t>
  </si>
  <si>
    <t>Capital requirements parameters</t>
  </si>
  <si>
    <t>Credit Risk</t>
  </si>
  <si>
    <t>Counterparty Credit Risk</t>
  </si>
  <si>
    <t>Market Risk</t>
  </si>
  <si>
    <t>Operational Risk</t>
  </si>
  <si>
    <t>Securitisations</t>
  </si>
  <si>
    <t>Liquidity Risk</t>
  </si>
  <si>
    <t>Indicators of global systemic importance</t>
  </si>
  <si>
    <t>New regulations</t>
  </si>
  <si>
    <t>Remuneration</t>
  </si>
  <si>
    <t>Table 88 CRR reference table</t>
  </si>
  <si>
    <t>CRR ref.</t>
  </si>
  <si>
    <t>High level summary</t>
  </si>
  <si>
    <t>Title I: General Principles</t>
  </si>
  <si>
    <t>Article 431</t>
  </si>
  <si>
    <t>Scope of disclosure requirement</t>
  </si>
  <si>
    <t>Article 432</t>
  </si>
  <si>
    <t>Non-material, proprietary or confidential information</t>
  </si>
  <si>
    <t>Article 433</t>
  </si>
  <si>
    <t>Frequency of disclosure</t>
  </si>
  <si>
    <t>Article 434</t>
  </si>
  <si>
    <t>Means of disclosures</t>
  </si>
  <si>
    <t>Title II: Technical criteria on transparency and disclosure</t>
  </si>
  <si>
    <t>Article 435</t>
  </si>
  <si>
    <t>Risk management objectives and policies</t>
  </si>
  <si>
    <t>Article 436</t>
  </si>
  <si>
    <t>Scope of application</t>
  </si>
  <si>
    <t>N/A</t>
  </si>
  <si>
    <t>Article 437</t>
  </si>
  <si>
    <t>Own funds</t>
  </si>
  <si>
    <t>Article 438</t>
  </si>
  <si>
    <t>Article 440</t>
  </si>
  <si>
    <t>Capital buffers</t>
  </si>
  <si>
    <t>Article 441</t>
  </si>
  <si>
    <t>Article 442</t>
  </si>
  <si>
    <t>Credit risk adjustments</t>
  </si>
  <si>
    <t>Article 443</t>
  </si>
  <si>
    <t>Unencumbered assets</t>
  </si>
  <si>
    <t>Article 444</t>
  </si>
  <si>
    <t>Use of ECAIs</t>
  </si>
  <si>
    <t>Article 445</t>
  </si>
  <si>
    <t>Exposure to market risk</t>
  </si>
  <si>
    <t>Article 446</t>
  </si>
  <si>
    <t>Article 447</t>
  </si>
  <si>
    <t>Exposures in equities not included in the trading book</t>
  </si>
  <si>
    <t>Article 449</t>
  </si>
  <si>
    <t>Exposure to securitisation positions</t>
  </si>
  <si>
    <t>Article 450</t>
  </si>
  <si>
    <t>Remuneration policy</t>
  </si>
  <si>
    <t>Article 451</t>
  </si>
  <si>
    <t>Article 452</t>
  </si>
  <si>
    <t>Use of the IRB Approach to credit risk</t>
  </si>
  <si>
    <t>Article 453</t>
  </si>
  <si>
    <t>Use of credit risk mitigation techniques</t>
  </si>
  <si>
    <t>Article 454</t>
  </si>
  <si>
    <t>Use of the Advanced Measurement Approaches to operational risk</t>
  </si>
  <si>
    <t>Article 455</t>
  </si>
  <si>
    <t>Use of Internal Market Risk Models</t>
  </si>
  <si>
    <t>FINREP</t>
  </si>
  <si>
    <t>COREP'i osa (omavahendid)</t>
  </si>
  <si>
    <t>Kogu CCR riskile</t>
  </si>
  <si>
    <t>Argole</t>
  </si>
  <si>
    <t>Argo</t>
  </si>
  <si>
    <t>Aldole</t>
  </si>
  <si>
    <t>Meelis</t>
  </si>
  <si>
    <t>Ordinary shares</t>
  </si>
  <si>
    <t>Subordinated loans</t>
  </si>
  <si>
    <t>Perpetual loans</t>
  </si>
  <si>
    <t>EUR loan 2025</t>
  </si>
  <si>
    <t>EUR loan 2028</t>
  </si>
  <si>
    <t>1. Issuer</t>
  </si>
  <si>
    <t>AS LHV Group</t>
  </si>
  <si>
    <t>2. Unique identifier (e.g. CUSIP, ISIN, or Bloomberg identifier for private placement)</t>
  </si>
  <si>
    <t>EE3100073644 </t>
  </si>
  <si>
    <t>EE3300110741</t>
  </si>
  <si>
    <t>EE3300111558</t>
  </si>
  <si>
    <t>3. Governing law for the instrument</t>
  </si>
  <si>
    <t>Means by which enforceability requirement of section 13 of the TLAC term sheet is achieved (for other TLAC-eligible instruments governed by foreign law)</t>
  </si>
  <si>
    <t xml:space="preserve">  Regulatory treatment </t>
  </si>
  <si>
    <t>4. Transitional rules</t>
  </si>
  <si>
    <t>Common Equity Tier 1</t>
  </si>
  <si>
    <t>Tier 2</t>
  </si>
  <si>
    <t>5. Post-transitional rules</t>
  </si>
  <si>
    <t xml:space="preserve">6. Eligible at ind. company/group/group &amp; ind. company level </t>
  </si>
  <si>
    <t xml:space="preserve">Group </t>
  </si>
  <si>
    <t>7. Instrument type</t>
  </si>
  <si>
    <t>Common shares</t>
  </si>
  <si>
    <t>Tier 2 subordinated debt</t>
  </si>
  <si>
    <t>8. Amount recognised in regulatory capital (in EUR million)</t>
  </si>
  <si>
    <t xml:space="preserve">9. Par value of instrument (amounts in millon in the relevant currency and in EUR million) </t>
  </si>
  <si>
    <t>EUR 15</t>
  </si>
  <si>
    <t>EUR 20</t>
  </si>
  <si>
    <t>9a. Issue price</t>
  </si>
  <si>
    <t>Various</t>
  </si>
  <si>
    <t>9b. Redemption price</t>
  </si>
  <si>
    <t>Redemption at par</t>
  </si>
  <si>
    <t>10. Accounting classification</t>
  </si>
  <si>
    <t>Shareholder's equity</t>
  </si>
  <si>
    <t>Subordinated loan capital - amortised cost</t>
  </si>
  <si>
    <t>11. Original date of issuance</t>
  </si>
  <si>
    <t>29 October 2015</t>
  </si>
  <si>
    <t>12. Perpetual or dated</t>
  </si>
  <si>
    <t>Dated</t>
  </si>
  <si>
    <t>13. Original maturity date</t>
  </si>
  <si>
    <t>29 October 2025</t>
  </si>
  <si>
    <t>14. Issuer call subject to prior supervisory approval</t>
  </si>
  <si>
    <t>No</t>
  </si>
  <si>
    <t>Yes</t>
  </si>
  <si>
    <t>15. Optional call date, contingent call dates and redemption amount</t>
  </si>
  <si>
    <t>29 October 2020.  Call at par</t>
  </si>
  <si>
    <t>28 November 2023.  Call at par</t>
  </si>
  <si>
    <t>16. Subsequent call dates, if applicable</t>
  </si>
  <si>
    <t xml:space="preserve">  Coupons/dividends</t>
  </si>
  <si>
    <t>17. Fixed or floating dividend/coupon</t>
  </si>
  <si>
    <t>Floating</t>
  </si>
  <si>
    <t>Fixed</t>
  </si>
  <si>
    <t>18. Coupon rate and any related index</t>
  </si>
  <si>
    <t>6.50%. Thereafter: 6.50%</t>
  </si>
  <si>
    <t>6.00%. Thereafter: 6.00%</t>
  </si>
  <si>
    <t>19. Existence of a dividend stopper</t>
  </si>
  <si>
    <t>20a. Fully discretionary, partially discretionary or mandatory (in terms of timing)</t>
  </si>
  <si>
    <t xml:space="preserve">Fully discretionary </t>
  </si>
  <si>
    <t>Mandatory</t>
  </si>
  <si>
    <t>20b. Fully discretionary, partially discretionary or mandatory (in terms of amount)</t>
  </si>
  <si>
    <t>21. Existence of a step-up or other incentive to redeem</t>
  </si>
  <si>
    <t>22. Non-cumulative or cumulative</t>
  </si>
  <si>
    <t>Non-cumulative</t>
  </si>
  <si>
    <t xml:space="preserve">  Convertible or non-convertible</t>
  </si>
  <si>
    <r>
      <t xml:space="preserve">23. Convertible or non-convertible </t>
    </r>
    <r>
      <rPr>
        <vertAlign val="superscript"/>
        <sz val="8"/>
        <rFont val="Calibri Light"/>
        <family val="2"/>
        <scheme val="major"/>
      </rPr>
      <t>4)</t>
    </r>
  </si>
  <si>
    <t>Non-convertible</t>
  </si>
  <si>
    <t>24. If convertible, conversion trigger(s)</t>
  </si>
  <si>
    <t>25. If convertible, fully or partially</t>
  </si>
  <si>
    <t>26. If convertible, conversion rate</t>
  </si>
  <si>
    <t>27. If convertible, mandatory or optional conversion</t>
  </si>
  <si>
    <t>28. If convertible, specify instrument type convertible into</t>
  </si>
  <si>
    <t>29. If convertible, specify issuer of instrument it converts into</t>
  </si>
  <si>
    <t>30. Write-down features</t>
  </si>
  <si>
    <t xml:space="preserve">31. If write-down, write-down trigger (s) </t>
  </si>
  <si>
    <t>32. If write-down, full or partial</t>
  </si>
  <si>
    <t>33. If write-down, permanent or temporary</t>
  </si>
  <si>
    <t>34. If temporary write-down, description of revaluation mechanism</t>
  </si>
  <si>
    <t>34a. Type of subordination</t>
  </si>
  <si>
    <t>35. Position in subordination hierarchy in liquidation (specify
        instrument type immediately senior to instrument)</t>
  </si>
  <si>
    <t>unsubordinated recognised claims</t>
  </si>
  <si>
    <t>36. Non-compliant transitioned features</t>
  </si>
  <si>
    <t>37. If yes, specify non-compliant features</t>
  </si>
  <si>
    <t>Subordinated loan capital and perpetual subordinated loan capital securities, LHV Group</t>
  </si>
  <si>
    <t xml:space="preserve">LHV Group </t>
  </si>
  <si>
    <t>Amounts in EUR million</t>
  </si>
  <si>
    <t>31 Dec. 2018</t>
  </si>
  <si>
    <t>Term subordinated loan capital, nominal amount</t>
  </si>
  <si>
    <t>Perpetual subordinated loan capital, nominal amount</t>
  </si>
  <si>
    <t>Perpetual subordinated loan capital securities, nominal amount</t>
  </si>
  <si>
    <t>Adjustments</t>
  </si>
  <si>
    <t>Total subordinated loan capital and perpetual subordinated loan capital securities</t>
  </si>
  <si>
    <t>Changes in subordinated loan capital and perpetual subordinated loan capital securities</t>
  </si>
  <si>
    <t xml:space="preserve">Matured/ </t>
  </si>
  <si>
    <t xml:space="preserve">Exchange rate </t>
  </si>
  <si>
    <t xml:space="preserve">Balance sheet </t>
  </si>
  <si>
    <t xml:space="preserve">Issued </t>
  </si>
  <si>
    <t xml:space="preserve">redeemed </t>
  </si>
  <si>
    <t xml:space="preserve">movements </t>
  </si>
  <si>
    <t xml:space="preserve">adjustments </t>
  </si>
  <si>
    <t>Perpetual subordinated loan capital securities,
  nominal amount</t>
  </si>
  <si>
    <t>Total subordinated loan capital and perpetual
  subordinated loan capital securities</t>
  </si>
  <si>
    <t>LHV Group</t>
  </si>
  <si>
    <t xml:space="preserve">Carrying </t>
  </si>
  <si>
    <t xml:space="preserve">Carrying amount in </t>
  </si>
  <si>
    <t>Call</t>
  </si>
  <si>
    <t>amount</t>
  </si>
  <si>
    <t>Year raised</t>
  </si>
  <si>
    <t xml:space="preserve">foreign currency </t>
  </si>
  <si>
    <t>Interest rate</t>
  </si>
  <si>
    <t>Maturity</t>
  </si>
  <si>
    <t>date</t>
  </si>
  <si>
    <t>in EUR</t>
  </si>
  <si>
    <t>Term subordinated loan capital</t>
  </si>
  <si>
    <t>2020</t>
  </si>
  <si>
    <t>2023</t>
  </si>
  <si>
    <t>Total, nominal amount</t>
  </si>
  <si>
    <t>Net Stable Funding Ratio, LHV Group</t>
  </si>
  <si>
    <t>LHV Group 31.Dec 2018</t>
  </si>
  <si>
    <t>Unweighted value by residual maturity</t>
  </si>
  <si>
    <t>No maturity</t>
  </si>
  <si>
    <t>&lt; 6 months</t>
  </si>
  <si>
    <t>6 months to &lt;1yr</t>
  </si>
  <si>
    <t>≥ 1yr</t>
  </si>
  <si>
    <t>ASF item</t>
  </si>
  <si>
    <t>Capital:</t>
  </si>
  <si>
    <t>regulatory capital</t>
  </si>
  <si>
    <t>Other capital instruments</t>
  </si>
  <si>
    <t>Retail deposits and deposits from small business customers</t>
  </si>
  <si>
    <t>Stable deposits</t>
  </si>
  <si>
    <t>Less stable deposits</t>
  </si>
  <si>
    <t>Operational deposits</t>
  </si>
  <si>
    <t>Other wholesale funding</t>
  </si>
  <si>
    <t>Liabilities with maturities interdependent assets</t>
  </si>
  <si>
    <t>Other liabilities:</t>
  </si>
  <si>
    <t>NSFR derivative liabilities</t>
  </si>
  <si>
    <t>All other liabilities and equity not included in the above categories</t>
  </si>
  <si>
    <t>Total ASF</t>
  </si>
  <si>
    <t>RSF item</t>
  </si>
  <si>
    <t>Total NSFR high-quality liquid assets (HQLA)</t>
  </si>
  <si>
    <t>Deposits held at other financial institutions for operational purposes</t>
  </si>
  <si>
    <t>Performing loans and securities:</t>
  </si>
  <si>
    <t>Performing loans to financial institutions secured by Level 1 HQLA</t>
  </si>
  <si>
    <t>Performing loans to financial institutions secured by non-Level 1 HQLA and unsecured performing loans to financial institutions</t>
  </si>
  <si>
    <t>Performing loans to non-financial corporate clients, loans to retail and small business customers, and loans to sovereigns, central banks and PSA's, of which:</t>
  </si>
  <si>
    <t>With a risk weight of less than or equal to 35% under Basel II Standard Approach for credit risk</t>
  </si>
  <si>
    <t>Securities that are not in default and do not qualify as HQLA, including exchange traded equities</t>
  </si>
  <si>
    <t>Assets with matching interdependent liabilities</t>
  </si>
  <si>
    <t>Other assets:</t>
  </si>
  <si>
    <t>Physical traded commodities, including gold</t>
  </si>
  <si>
    <t>Assets posted as initial margin for derivative contracts and contributions to default funds of CCPs</t>
  </si>
  <si>
    <t>NSFR derivative assets</t>
  </si>
  <si>
    <t>NSFR derivative liabilities before deduction of variation margin posted</t>
  </si>
  <si>
    <t>All other assets not included in the above categories 1)</t>
  </si>
  <si>
    <t>Total RSF</t>
  </si>
  <si>
    <t>Net Stable Funding Ratio</t>
  </si>
  <si>
    <t>Disclosure of main features of regulatory capital instruments as at 31 December 2019, LHV Group</t>
  </si>
  <si>
    <t>Disclosure of main features of regulatory capital instruments</t>
  </si>
  <si>
    <t>31 Dec. 2019</t>
  </si>
  <si>
    <t>Number of losses</t>
  </si>
  <si>
    <t>Sum of losses</t>
  </si>
  <si>
    <t>EURt</t>
  </si>
  <si>
    <t>Operation risk losses &gt; 5 tEUR</t>
  </si>
  <si>
    <t>Operation risk losses &gt; 25 tEUR</t>
  </si>
  <si>
    <t>Operation risk losses &gt; 100 tEUR</t>
  </si>
  <si>
    <t>AT1 bond</t>
  </si>
  <si>
    <t>EE3300111780</t>
  </si>
  <si>
    <t>Group</t>
  </si>
  <si>
    <t>Tier 1 subordinated debt</t>
  </si>
  <si>
    <t>Perpetual</t>
  </si>
  <si>
    <t>26 June 2024. Call at par</t>
  </si>
  <si>
    <t>8.00%</t>
  </si>
  <si>
    <t>EUR 40</t>
  </si>
  <si>
    <t xml:space="preserve">1The BoD proposed to the AGM held on 13 March 2020 that a dividend of EUR 0.19 per share be paid based on the balance sheet to be adopted for financial year 2019.  </t>
  </si>
  <si>
    <t>2024</t>
  </si>
  <si>
    <t>Meelis vt all suhtarvud</t>
  </si>
  <si>
    <t>Other countries</t>
  </si>
  <si>
    <t>A Agriculture, forestry and fishing</t>
  </si>
  <si>
    <t>B Mining and quarrying</t>
  </si>
  <si>
    <t>C Manufacturing</t>
  </si>
  <si>
    <t>D Electricity, gas, steam and air conditioning supply</t>
  </si>
  <si>
    <t>E Water supply</t>
  </si>
  <si>
    <t>F Construction</t>
  </si>
  <si>
    <t>G Wholesale and retail trade</t>
  </si>
  <si>
    <t>H Transport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</si>
  <si>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</si>
  <si>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</si>
  <si>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</si>
  <si>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</si>
  <si>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</si>
  <si>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</si>
  <si>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O Public administration and defence, compulsory social security</t>
  </si>
  <si>
    <t>P Education</t>
  </si>
  <si>
    <t>Q Human health services and social work activities</t>
  </si>
  <si>
    <t>R Arts, entertainment and recreation</t>
  </si>
  <si>
    <t>S Other services</t>
  </si>
  <si>
    <t>&lt; 1 year</t>
  </si>
  <si>
    <t>&gt;=1 year &lt; 2 years</t>
  </si>
  <si>
    <t>&gt;=2 year &lt; 5 years</t>
  </si>
  <si>
    <t>&gt;=5 year &lt; 10 years</t>
  </si>
  <si>
    <t>&gt;=10 year &lt; 20 years</t>
  </si>
  <si>
    <t>&gt;=20 year &lt; 30 years</t>
  </si>
  <si>
    <t>&gt;=30 years</t>
  </si>
  <si>
    <t>TOTAL</t>
  </si>
  <si>
    <t>t</t>
  </si>
  <si>
    <t>Of which  impaired</t>
  </si>
  <si>
    <t>0-0.25</t>
  </si>
  <si>
    <t>0.25-1</t>
  </si>
  <si>
    <t>1-</t>
  </si>
  <si>
    <t>Of which: Loans collateralised by commercial immovable property</t>
  </si>
  <si>
    <t>Performing</t>
  </si>
  <si>
    <t>Non-Performing</t>
  </si>
  <si>
    <t>OFF-BALANCE SHEET EXPOSURES</t>
  </si>
  <si>
    <t>Gross carrying amount</t>
  </si>
  <si>
    <t>of which: loans and advances subject to impairment</t>
  </si>
  <si>
    <t>Of which: non-performing</t>
  </si>
  <si>
    <t>Accumulated impairment</t>
  </si>
  <si>
    <t>Increases due to origination and acquisition</t>
  </si>
  <si>
    <t>Decrease due to derecognition repayments and disposals</t>
  </si>
  <si>
    <t>Changes due to change in credit risk (net)</t>
  </si>
  <si>
    <t>Changes due to modifications without derecognition (net)</t>
  </si>
  <si>
    <t>Changes due to update in the institution's methodology for estimation (net)</t>
  </si>
  <si>
    <t>Decrease in allowance account due to write-offs</t>
  </si>
  <si>
    <t>Available capital, tEUR</t>
  </si>
  <si>
    <t>Risk-weighted assets (RWA), tEUR</t>
  </si>
  <si>
    <t>Total RWA</t>
  </si>
  <si>
    <t>Risk-based capital ratios as a percentage of RWA</t>
  </si>
  <si>
    <t>Additional CET1 buffer requirements as a percentage of RWA</t>
  </si>
  <si>
    <t>Systemically important institution buffer requirement</t>
  </si>
  <si>
    <t>Pillar II buffer requirement</t>
  </si>
  <si>
    <t>*boldiga on uuendatud</t>
  </si>
  <si>
    <t>Tier 1 capital, transitional definition, tEUR</t>
  </si>
  <si>
    <t>Leverage ratio exposure, tEUR</t>
  </si>
  <si>
    <t>Tier 1 capital, tEUR</t>
  </si>
  <si>
    <t xml:space="preserve">Table 6 EU OV1: Overview of RWA </t>
  </si>
  <si>
    <t>RWA</t>
  </si>
  <si>
    <t>tEUR</t>
  </si>
  <si>
    <t>CVA</t>
  </si>
  <si>
    <t>RWA density</t>
  </si>
  <si>
    <t>Q4 2019, tEUR</t>
  </si>
  <si>
    <t>Q4 2018, tEUR</t>
  </si>
  <si>
    <t>(a) Multilateral Developments Banks</t>
  </si>
  <si>
    <t>(b)  Shares in collective investment undertakings</t>
  </si>
  <si>
    <t>Investment portfolio</t>
  </si>
  <si>
    <t>LHV Group 31.Dec 2019</t>
  </si>
  <si>
    <t>Wholesale funding</t>
  </si>
  <si>
    <t>Performing residential mortgages, of which</t>
  </si>
  <si>
    <t>Off-balance sheet items</t>
  </si>
  <si>
    <t>Currency distribution, market values in EURm</t>
  </si>
  <si>
    <t>Up to 3 months</t>
  </si>
  <si>
    <t>1-5 years</t>
  </si>
  <si>
    <t>Over 5 years</t>
  </si>
  <si>
    <t>Due from banks and investment companies</t>
  </si>
  <si>
    <t xml:space="preserve">Financial assets at fair value (debt securities) </t>
  </si>
  <si>
    <t xml:space="preserve">Loans and advances to customers </t>
  </si>
  <si>
    <t xml:space="preserve">Receivables from customers </t>
  </si>
  <si>
    <t xml:space="preserve">Other financial assets </t>
  </si>
  <si>
    <t>Foreign exchange derivatives (gross settled)</t>
  </si>
  <si>
    <t xml:space="preserve">Deposits from customers and loans received </t>
  </si>
  <si>
    <t xml:space="preserve">Subordinated debt </t>
  </si>
  <si>
    <t xml:space="preserve">Accounts payable and other financial liabilities </t>
  </si>
  <si>
    <t xml:space="preserve">Unused loan commitments </t>
  </si>
  <si>
    <t xml:space="preserve">Financial guarantees by contractual amounts </t>
  </si>
  <si>
    <t xml:space="preserve">Financial liabilities at fair value </t>
  </si>
  <si>
    <t>Total HQLA, tEUR</t>
  </si>
  <si>
    <t>Total net cash outflow, tEUR</t>
  </si>
  <si>
    <t>Available stable funding, tEUR</t>
  </si>
  <si>
    <t>Required stable funding, tEUR</t>
  </si>
  <si>
    <t>Net stable funding, tEUR</t>
  </si>
  <si>
    <t>Table 53 Counterparty credit risk exposures and RWA split by exposure class</t>
  </si>
  <si>
    <t>Table 36 Write-offs, split by customer type</t>
  </si>
  <si>
    <t>2019, EURt</t>
  </si>
  <si>
    <t>Balance in the beginning of the year</t>
  </si>
  <si>
    <t>Write-offs</t>
  </si>
  <si>
    <t>Write-offs ratio bps</t>
  </si>
  <si>
    <t>Administrative and support service activities</t>
  </si>
  <si>
    <t>Agriculture, forestry and fishing</t>
  </si>
  <si>
    <t>Information and communication</t>
  </si>
  <si>
    <t>Manufacturing</t>
  </si>
  <si>
    <t>Professional, scientific and technical activities</t>
  </si>
  <si>
    <t>Transportation and storage</t>
  </si>
  <si>
    <t>Wholesale and retail trade; repair of motor vehicles and motorcycles</t>
  </si>
  <si>
    <t>2018, EURt</t>
  </si>
  <si>
    <t>CHF</t>
  </si>
  <si>
    <t>GBP</t>
  </si>
  <si>
    <t>Muud</t>
  </si>
  <si>
    <t>Kokku</t>
  </si>
  <si>
    <t>2019, EURmln</t>
  </si>
  <si>
    <t>2018, EURmln</t>
  </si>
  <si>
    <t>Assets bearing currency risk</t>
  </si>
  <si>
    <t>Investments in debt and equity securities</t>
  </si>
  <si>
    <t>Loans and advances to customers</t>
  </si>
  <si>
    <t>Receivables from customers</t>
  </si>
  <si>
    <t>Other financial assets</t>
  </si>
  <si>
    <t>Total assets bearing currency risk</t>
  </si>
  <si>
    <t>Liabilities bearing currency risk</t>
  </si>
  <si>
    <t>Deposits from customers and loans received</t>
  </si>
  <si>
    <t>Financial liabilities at fair value</t>
  </si>
  <si>
    <t>Accounts payable and other financial liabilities</t>
  </si>
  <si>
    <t>Subordinated debt</t>
  </si>
  <si>
    <t xml:space="preserve">Total liabilities bearing currency risk </t>
  </si>
  <si>
    <t xml:space="preserve">Open gross position derivative assets at contractual value </t>
  </si>
  <si>
    <t xml:space="preserve">Open gross position derivative liabilities at contractual value </t>
  </si>
  <si>
    <t>Open foreign currency position</t>
  </si>
  <si>
    <t>of which: mortgage loans</t>
  </si>
  <si>
    <t>Over-collateralized loans</t>
  </si>
  <si>
    <t>Under-collateralized loans</t>
  </si>
  <si>
    <t>Carrying value</t>
  </si>
  <si>
    <t>Fair value of collateral</t>
  </si>
  <si>
    <t>As at 31.12.2019</t>
  </si>
  <si>
    <t>Corporate and retail loans (including overdraft)</t>
  </si>
  <si>
    <t>Leveraged loans</t>
  </si>
  <si>
    <t>Credit cards, consumer loans, overdraft to private individuals</t>
  </si>
  <si>
    <t>Leasing</t>
  </si>
  <si>
    <t>Hire-purchase</t>
  </si>
  <si>
    <t xml:space="preserve">Mortgage loans </t>
  </si>
  <si>
    <t>As at 31.12.2018</t>
  </si>
  <si>
    <t>236 687</t>
  </si>
  <si>
    <t>(EURmln)</t>
  </si>
  <si>
    <t>The chart below shows the legal structure of the LHV Group.</t>
  </si>
  <si>
    <t>Corporate Governance report</t>
  </si>
  <si>
    <t>Note 2 Summary of significant accounting policies</t>
  </si>
  <si>
    <t>Note 3 Risk Management-&gt; 3.4 Liquidity risk</t>
  </si>
  <si>
    <t>Note 3 Risk Management-&gt; 3.6 Operational risk</t>
  </si>
  <si>
    <t>Note 3 Risk Management-&gt; 3.3 Market risk</t>
  </si>
  <si>
    <t>Note 3 Risk Management-&gt; 3.2 Credit risk</t>
  </si>
  <si>
    <t>Note 3 Risk Management-&gt; 3.1 Capital management</t>
  </si>
  <si>
    <t>Consolidated financial statements</t>
  </si>
  <si>
    <t>Note 5 Operating segments</t>
  </si>
  <si>
    <t>Liquidity and capitalization</t>
  </si>
  <si>
    <t>Financial results</t>
  </si>
  <si>
    <t>Quantification and framework</t>
  </si>
  <si>
    <t>Additional information is available at https://investor.lhv.ee/en/reports/ and https://investor.lhv.ee/en/reports/#factsheet</t>
  </si>
  <si>
    <t>Tables "Credit risk"</t>
  </si>
  <si>
    <t>Annual report Capital management</t>
  </si>
  <si>
    <t>Annual report Corporate Governance Report</t>
  </si>
  <si>
    <t>Tables "Securitisation"</t>
  </si>
  <si>
    <t>tables "MR"</t>
  </si>
  <si>
    <t>Annual report Note 3, 3.6 Operational risk</t>
  </si>
  <si>
    <t>Annual report Note 3, 3.3 Market risk</t>
  </si>
  <si>
    <t>Tables "CRR"</t>
  </si>
  <si>
    <t>Annual report Note 3, 3.4 Liquidity risk</t>
  </si>
  <si>
    <t>Table 85</t>
  </si>
  <si>
    <t>Annual repot Capital management and Annual report Note 3 Risk Management</t>
  </si>
  <si>
    <t>Annual repot Capital management</t>
  </si>
  <si>
    <t>Annual report Summary of LHV Group and financials</t>
  </si>
  <si>
    <t>Annual report Note 3 and Corporate Governance report</t>
  </si>
  <si>
    <t>This table, table 87 and throughout the text in annual report where applicable.</t>
  </si>
  <si>
    <t>The disclosures are made annually at the end of Q1. For items where more frequent disclosures are assessed  needed, information is given in the interim financial reports or on the Investor Relations pages on investor.lhv.ee/en.</t>
  </si>
  <si>
    <t>Annual report Note 2</t>
  </si>
  <si>
    <t>Introduction and disclosures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</si>
</sst>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0.0%"/>
    <numFmt numFmtId="165" formatCode="0.0"/>
    <numFmt numFmtId="166" formatCode="[$-809]d\ mmmm\ yyyy;@"/>
    <numFmt numFmtId="167" formatCode="_(* #,##0_);_(* \(#,##0\);_(* &quot;0&quot;_);_(@_)"/>
    <numFmt numFmtId="168" formatCode="_(* #,##0_);_(* \(#,##0\);_(* &quot;0&quot;_)"/>
    <numFmt numFmtId="169" formatCode="0.00_);\(0.00\);&quot;&quot;"/>
    <numFmt numFmtId="170" formatCode="#,##0_);\(#,##0\);&quot;&quot;\ "/>
    <numFmt numFmtId="171" formatCode="#,##0.0"/>
  </numFmts>
  <fonts count="44">
    <font>
      <sz val="11"/>
      <color theme="1"/>
      <name val="Calibri"/>
      <family val="2"/>
      <charset val="186"/>
      <scheme val="minor"/>
    </font>
    <font>
      <sz val="11"/>
      <color theme="1"/>
      <name val="Calibri"/>
      <family val="2"/>
      <charset val="186"/>
      <scheme val="minor"/>
    </font>
    <font>
      <sz val="11"/>
      <color theme="1"/>
      <name val="Calibri"/>
      <family val="2"/>
      <scheme val="minor"/>
    </font>
    <font>
      <sz val="10"/>
      <color rgb="FF000000"/>
      <name val="Times New Roman"/>
      <family val="1"/>
    </font>
    <font>
      <sz val="9"/>
      <name val="Arial"/>
      <family val="2"/>
      <charset val="186"/>
    </font>
    <font>
      <sz val="11"/>
      <color theme="1"/>
      <name val="Arial"/>
      <family val="2"/>
      <charset val="186"/>
    </font>
    <font>
      <sz val="9"/>
      <color rgb="FFFF0000"/>
      <name val="Arial"/>
      <family val="2"/>
      <charset val="186"/>
    </font>
    <font>
      <sz val="10"/>
      <name val="Arial"/>
      <family val="2"/>
      <charset val="186"/>
    </font>
    <font>
      <sz val="9"/>
      <color rgb="FF074EA2"/>
      <name val="Arial"/>
      <family val="2"/>
      <charset val="186"/>
    </font>
    <font>
      <sz val="10"/>
      <color rgb="FF000000"/>
      <name val="Arial"/>
      <family val="2"/>
      <charset val="186"/>
    </font>
    <font>
      <sz val="9"/>
      <color theme="1"/>
      <name val="Arial"/>
      <family val="2"/>
      <charset val="186"/>
    </font>
    <font>
      <sz val="8"/>
      <color rgb="FF000000"/>
      <name val="Arial"/>
      <family val="2"/>
      <charset val="186"/>
    </font>
    <font>
      <u/>
      <sz val="11"/>
      <color theme="10"/>
      <name val="Calibri"/>
      <family val="2"/>
      <scheme val="minor"/>
    </font>
    <font>
      <sz val="10"/>
      <color theme="1"/>
      <name val="Arial"/>
      <family val="2"/>
      <charset val="186"/>
    </font>
    <font>
      <b/>
      <sz val="10"/>
      <color theme="1"/>
      <name val="Arial"/>
      <family val="2"/>
      <charset val="186"/>
    </font>
    <font>
      <b/>
      <sz val="11"/>
      <color theme="1"/>
      <name val="Calibri"/>
      <family val="2"/>
      <charset val="186"/>
      <scheme val="minor"/>
    </font>
    <font>
      <sz val="10"/>
      <name val="Arial"/>
      <family val="2"/>
    </font>
    <font>
      <sz val="9"/>
      <color theme="1"/>
      <name val="Calibri"/>
      <family val="2"/>
    </font>
    <font>
      <sz val="11"/>
      <color rgb="FF000000"/>
      <name val="Calibri"/>
      <family val="2"/>
      <scheme val="minor"/>
    </font>
    <font>
      <sz val="10"/>
      <color theme="1"/>
      <name val="Arail"/>
      <charset val="186"/>
    </font>
    <font>
      <b/>
      <sz val="10"/>
      <color theme="1"/>
      <name val="Arail"/>
      <charset val="186"/>
    </font>
    <font>
      <sz val="10"/>
      <name val="Georgia"/>
      <family val="1"/>
    </font>
    <font>
      <sz val="10"/>
      <color rgb="FF074EA2"/>
      <name val="Arial"/>
      <family val="2"/>
      <charset val="186"/>
    </font>
    <font>
      <sz val="10"/>
      <color theme="10"/>
      <name val="Arial"/>
      <family val="2"/>
      <charset val="186"/>
    </font>
    <font>
      <sz val="8"/>
      <color theme="1"/>
      <name val="Arial"/>
      <family val="2"/>
    </font>
    <font>
      <u/>
      <sz val="10"/>
      <color indexed="12"/>
      <name val="Arial"/>
      <family val="2"/>
    </font>
    <font>
      <sz val="11"/>
      <color theme="1"/>
      <name val="Arial"/>
      <family val="2"/>
    </font>
    <font>
      <b/>
      <sz val="8"/>
      <color theme="1"/>
      <name val="Arial"/>
      <family val="2"/>
    </font>
    <font>
      <b/>
      <sz val="8"/>
      <name val="Calibri Light"/>
      <family val="2"/>
      <scheme val="major"/>
    </font>
    <font>
      <sz val="8"/>
      <name val="Calibri Light"/>
      <family val="2"/>
      <scheme val="major"/>
    </font>
    <font>
      <b/>
      <sz val="8"/>
      <name val="Calibri Light"/>
      <family val="2"/>
      <charset val="186"/>
      <scheme val="major"/>
    </font>
    <font>
      <vertAlign val="superscript"/>
      <sz val="8"/>
      <name val="Calibri Light"/>
      <family val="2"/>
      <scheme val="major"/>
    </font>
    <font>
      <sz val="9"/>
      <name val="Verdana"/>
      <family val="2"/>
    </font>
    <font>
      <sz val="8"/>
      <name val="Arial"/>
      <family val="2"/>
    </font>
    <font>
      <b/>
      <sz val="7.5"/>
      <name val="Arial"/>
      <family val="2"/>
    </font>
    <font>
      <b/>
      <sz val="8"/>
      <color theme="1" tint="0.34998626667073579"/>
      <name val="Calibri Light"/>
      <family val="2"/>
      <scheme val="major"/>
    </font>
    <font>
      <sz val="8"/>
      <color theme="1" tint="0.34998626667073579"/>
      <name val="Calibri Light"/>
      <family val="2"/>
      <scheme val="major"/>
    </font>
    <font>
      <sz val="11"/>
      <color indexed="63"/>
      <name val="Arial"/>
      <family val="2"/>
    </font>
    <font>
      <b/>
      <sz val="10"/>
      <color rgb="FF000000"/>
      <name val="Arial"/>
      <family val="2"/>
      <charset val="186"/>
    </font>
    <font>
      <b/>
      <sz val="10"/>
      <name val="Arial"/>
      <family val="2"/>
      <charset val="186"/>
    </font>
    <font>
      <i/>
      <sz val="10"/>
      <color theme="1"/>
      <name val="Arial"/>
      <family val="2"/>
      <charset val="186"/>
    </font>
    <font>
      <b/>
      <sz val="8"/>
      <color theme="1"/>
      <name val="Arial"/>
      <family val="2"/>
      <charset val="186"/>
    </font>
    <font>
      <i/>
      <sz val="8"/>
      <color theme="1"/>
      <name val="Arial"/>
      <family val="2"/>
      <charset val="186"/>
    </font>
    <font>
      <b/>
      <sz val="8"/>
      <color rgb="FF000000"/>
      <name val="Arial"/>
      <family val="2"/>
      <charset val="186"/>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92D050"/>
        <bgColor indexed="64"/>
      </patternFill>
    </fill>
  </fills>
  <borders count="20">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style="thin">
        <color indexed="64"/>
      </right>
      <top style="thin">
        <color auto="1"/>
      </top>
      <bottom/>
      <diagonal/>
    </border>
    <border>
      <left/>
      <right style="thin">
        <color indexed="64"/>
      </right>
      <top style="thin">
        <color indexed="64"/>
      </top>
      <bottom style="thin">
        <color auto="1"/>
      </bottom>
      <diagonal/>
    </border>
    <border>
      <left style="thin">
        <color indexed="64"/>
      </left>
      <right/>
      <top style="thin">
        <color indexed="64"/>
      </top>
      <bottom style="thin">
        <color auto="1"/>
      </bottom>
      <diagonal/>
    </border>
    <border>
      <left style="thin">
        <color indexed="64"/>
      </left>
      <right/>
      <top style="thin">
        <color auto="1"/>
      </top>
      <bottom/>
      <diagonal/>
    </border>
    <border>
      <left style="thin">
        <color indexed="64"/>
      </left>
      <right/>
      <top/>
      <bottom style="thin">
        <color auto="1"/>
      </bottom>
      <diagonal/>
    </border>
    <border>
      <left style="thin">
        <color indexed="64"/>
      </left>
      <right style="thin">
        <color indexed="64"/>
      </right>
      <top style="thin">
        <color auto="1"/>
      </top>
      <bottom style="thin">
        <color auto="1"/>
      </bottom>
      <diagonal/>
    </border>
    <border>
      <left style="thin">
        <color indexed="64"/>
      </left>
      <right style="thin">
        <color indexed="64"/>
      </right>
      <top style="thin">
        <color auto="1"/>
      </top>
      <bottom/>
      <diagonal/>
    </border>
    <border>
      <left style="thin">
        <color indexed="64"/>
      </left>
      <right style="thin">
        <color indexed="64"/>
      </right>
      <top/>
      <bottom style="thin">
        <color auto="1"/>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theme="0"/>
      </left>
      <right style="thin">
        <color theme="0"/>
      </right>
      <top style="thin">
        <color theme="0"/>
      </top>
      <bottom style="thin">
        <color theme="0"/>
      </bottom>
      <diagonal/>
    </border>
  </borders>
  <cellStyleXfs count="33">
    <xf numFmtId="0" fontId="0" fillId="0" borderId="0"/>
    <xf numFmtId="9" fontId="1" fillId="0" borderId="0" applyFont="0" applyFill="0" applyBorder="0" applyAlignment="0" applyProtection="0"/>
    <xf numFmtId="0" fontId="2" fillId="0" borderId="0"/>
    <xf numFmtId="0" fontId="3" fillId="0" borderId="0"/>
    <xf numFmtId="0" fontId="2" fillId="0" borderId="0"/>
    <xf numFmtId="0" fontId="12" fillId="0" borderId="0" applyNumberFormat="0" applyFill="0" applyBorder="0" applyAlignment="0" applyProtection="0"/>
    <xf numFmtId="0" fontId="16" fillId="0" borderId="0">
      <alignment vertical="top"/>
    </xf>
    <xf numFmtId="9" fontId="16" fillId="0" borderId="0" applyFont="0" applyFill="0" applyBorder="0" applyAlignment="0" applyProtection="0"/>
    <xf numFmtId="0" fontId="17" fillId="0" borderId="0"/>
    <xf numFmtId="0" fontId="18" fillId="0" borderId="0"/>
    <xf numFmtId="0" fontId="2" fillId="0" borderId="0"/>
    <xf numFmtId="9" fontId="17" fillId="0" borderId="0" applyFont="0" applyFill="0" applyBorder="0" applyAlignment="0" applyProtection="0"/>
    <xf numFmtId="9" fontId="2" fillId="0" borderId="0" applyFont="0" applyFill="0" applyBorder="0" applyAlignment="0" applyProtection="0"/>
    <xf numFmtId="9" fontId="21" fillId="0" borderId="0" applyFont="0" applyFill="0" applyBorder="0" applyAlignment="0" applyProtection="0"/>
    <xf numFmtId="0" fontId="2" fillId="0" borderId="0"/>
    <xf numFmtId="0" fontId="16" fillId="0" borderId="0"/>
    <xf numFmtId="0" fontId="2" fillId="0" borderId="0"/>
    <xf numFmtId="43" fontId="2" fillId="0" borderId="0" applyFont="0" applyFill="0" applyBorder="0" applyAlignment="0" applyProtection="0"/>
    <xf numFmtId="0" fontId="16" fillId="0" borderId="0" applyBorder="0"/>
    <xf numFmtId="0" fontId="25" fillId="0" borderId="0" applyNumberFormat="0" applyFill="0" applyBorder="0" applyAlignment="0" applyProtection="0">
      <alignment vertical="top"/>
      <protection locked="0"/>
    </xf>
    <xf numFmtId="0" fontId="26" fillId="0" borderId="0"/>
    <xf numFmtId="0" fontId="32" fillId="0" borderId="0"/>
    <xf numFmtId="0" fontId="16" fillId="0" borderId="0"/>
    <xf numFmtId="0" fontId="16" fillId="0" borderId="0"/>
    <xf numFmtId="0" fontId="16" fillId="0" borderId="0"/>
    <xf numFmtId="0" fontId="16" fillId="0" borderId="0"/>
    <xf numFmtId="0" fontId="16" fillId="0" borderId="0" applyBorder="0"/>
    <xf numFmtId="0" fontId="16" fillId="0" borderId="0"/>
    <xf numFmtId="0" fontId="16" fillId="0" borderId="0" applyBorder="0"/>
    <xf numFmtId="0" fontId="26" fillId="0" borderId="0"/>
    <xf numFmtId="9" fontId="37" fillId="0" borderId="0" applyFont="0" applyFill="0" applyBorder="0" applyAlignment="0" applyProtection="0"/>
    <xf numFmtId="0" fontId="16" fillId="0" borderId="0"/>
    <xf numFmtId="0" fontId="16" fillId="0" borderId="0"/>
  </cellStyleXfs>
  <cellXfs count="358">
    <xf numFmtId="0" fontId="0" fillId="0" borderId="0" xfId="0"/>
    <xf numFmtId="0" fontId="5" fillId="2" borderId="0" xfId="0" applyFont="1" applyFill="1"/>
    <xf numFmtId="0" fontId="8" fillId="2" borderId="1" xfId="3" applyFont="1" applyFill="1" applyBorder="1" applyAlignment="1">
      <alignment horizontal="left" vertical="top" wrapText="1"/>
    </xf>
    <xf numFmtId="0" fontId="8" fillId="2" borderId="1" xfId="3" applyFont="1" applyFill="1" applyBorder="1" applyAlignment="1">
      <alignment horizontal="right" vertical="top" wrapText="1"/>
    </xf>
    <xf numFmtId="0" fontId="4" fillId="2" borderId="1" xfId="3" applyFont="1" applyFill="1" applyBorder="1" applyAlignment="1">
      <alignment horizontal="left" vertical="top" wrapText="1"/>
    </xf>
    <xf numFmtId="0" fontId="4" fillId="2" borderId="2" xfId="3" applyFont="1" applyFill="1" applyBorder="1" applyAlignment="1">
      <alignment horizontal="left" vertical="top" wrapText="1"/>
    </xf>
    <xf numFmtId="0" fontId="4" fillId="2" borderId="3" xfId="3" applyFont="1" applyFill="1" applyBorder="1" applyAlignment="1">
      <alignment horizontal="left" vertical="top" wrapText="1"/>
    </xf>
    <xf numFmtId="0" fontId="9" fillId="2" borderId="1" xfId="3" applyFont="1" applyFill="1" applyBorder="1" applyAlignment="1">
      <alignment horizontal="left" vertical="top" wrapText="1"/>
    </xf>
    <xf numFmtId="10" fontId="9" fillId="2" borderId="3" xfId="3" applyNumberFormat="1" applyFont="1" applyFill="1" applyBorder="1" applyAlignment="1">
      <alignment horizontal="right" vertical="top" wrapText="1"/>
    </xf>
    <xf numFmtId="0" fontId="7" fillId="2" borderId="1" xfId="3" applyFont="1" applyFill="1" applyBorder="1" applyAlignment="1">
      <alignment horizontal="right" vertical="top" wrapText="1"/>
    </xf>
    <xf numFmtId="0" fontId="13" fillId="2" borderId="0" xfId="0" applyFont="1" applyFill="1"/>
    <xf numFmtId="0" fontId="14" fillId="2" borderId="0" xfId="0" applyFont="1" applyFill="1"/>
    <xf numFmtId="0" fontId="13" fillId="2" borderId="1" xfId="0" applyFont="1" applyFill="1" applyBorder="1"/>
    <xf numFmtId="0" fontId="13" fillId="2" borderId="2" xfId="0" applyFont="1" applyFill="1" applyBorder="1"/>
    <xf numFmtId="0" fontId="0" fillId="2" borderId="0" xfId="0" applyFill="1"/>
    <xf numFmtId="0" fontId="13" fillId="2" borderId="0" xfId="0" applyFont="1" applyFill="1" applyAlignment="1">
      <alignment horizontal="right"/>
    </xf>
    <xf numFmtId="0" fontId="13" fillId="2" borderId="1" xfId="0" applyFont="1" applyFill="1" applyBorder="1" applyAlignment="1">
      <alignment horizontal="right"/>
    </xf>
    <xf numFmtId="0" fontId="15" fillId="2" borderId="0" xfId="0" applyFont="1" applyFill="1"/>
    <xf numFmtId="0" fontId="0" fillId="2" borderId="1" xfId="0" applyFill="1" applyBorder="1"/>
    <xf numFmtId="0" fontId="13" fillId="2" borderId="0" xfId="0" applyFont="1" applyFill="1" applyAlignment="1">
      <alignment wrapText="1"/>
    </xf>
    <xf numFmtId="0" fontId="13" fillId="2" borderId="0" xfId="0" applyFont="1" applyFill="1" applyBorder="1"/>
    <xf numFmtId="0" fontId="13" fillId="2" borderId="0"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applyAlignment="1"/>
    <xf numFmtId="0" fontId="13" fillId="2" borderId="2" xfId="0" applyFont="1" applyFill="1" applyBorder="1" applyAlignment="1">
      <alignment horizontal="right"/>
    </xf>
    <xf numFmtId="0" fontId="19" fillId="2" borderId="0" xfId="0" applyFont="1" applyFill="1"/>
    <xf numFmtId="0" fontId="19" fillId="2" borderId="1" xfId="0" applyFont="1" applyFill="1" applyBorder="1" applyAlignment="1">
      <alignment horizontal="left"/>
    </xf>
    <xf numFmtId="0" fontId="19" fillId="2" borderId="1" xfId="0" applyFont="1" applyFill="1" applyBorder="1" applyAlignment="1">
      <alignment textRotation="90"/>
    </xf>
    <xf numFmtId="0" fontId="19" fillId="2" borderId="2" xfId="0" applyFont="1" applyFill="1" applyBorder="1"/>
    <xf numFmtId="0" fontId="20" fillId="2" borderId="0" xfId="0" applyFont="1" applyFill="1"/>
    <xf numFmtId="0" fontId="13" fillId="2" borderId="3" xfId="0" applyFont="1" applyFill="1" applyBorder="1"/>
    <xf numFmtId="0" fontId="19" fillId="2" borderId="1" xfId="0" applyFont="1" applyFill="1" applyBorder="1"/>
    <xf numFmtId="0" fontId="19" fillId="2" borderId="2" xfId="0" applyFont="1" applyFill="1" applyBorder="1" applyAlignment="1">
      <alignment horizontal="right"/>
    </xf>
    <xf numFmtId="0" fontId="19" fillId="2" borderId="1" xfId="0" applyFont="1" applyFill="1" applyBorder="1" applyAlignment="1">
      <alignment wrapText="1"/>
    </xf>
    <xf numFmtId="0" fontId="19" fillId="2" borderId="0" xfId="0" applyFont="1" applyFill="1" applyBorder="1"/>
    <xf numFmtId="0" fontId="19" fillId="2" borderId="2" xfId="0" applyFont="1" applyFill="1" applyBorder="1" applyAlignment="1">
      <alignment horizontal="left"/>
    </xf>
    <xf numFmtId="0" fontId="19" fillId="2" borderId="1" xfId="0" applyFont="1" applyFill="1" applyBorder="1" applyAlignment="1">
      <alignment horizontal="right" wrapText="1"/>
    </xf>
    <xf numFmtId="2" fontId="13" fillId="2" borderId="0" xfId="0" applyNumberFormat="1" applyFont="1" applyFill="1"/>
    <xf numFmtId="2" fontId="13" fillId="2" borderId="1" xfId="0" applyNumberFormat="1" applyFont="1" applyFill="1" applyBorder="1"/>
    <xf numFmtId="165" fontId="13" fillId="2" borderId="0" xfId="0" applyNumberFormat="1" applyFont="1" applyFill="1"/>
    <xf numFmtId="165" fontId="13" fillId="2" borderId="1" xfId="0" applyNumberFormat="1" applyFont="1" applyFill="1" applyBorder="1"/>
    <xf numFmtId="165" fontId="13" fillId="2" borderId="2" xfId="0" applyNumberFormat="1" applyFont="1" applyFill="1" applyBorder="1"/>
    <xf numFmtId="165" fontId="13" fillId="2" borderId="1" xfId="0" applyNumberFormat="1" applyFont="1" applyFill="1" applyBorder="1" applyAlignment="1">
      <alignment horizontal="right"/>
    </xf>
    <xf numFmtId="1" fontId="13" fillId="2" borderId="0" xfId="0" applyNumberFormat="1" applyFont="1" applyFill="1"/>
    <xf numFmtId="1" fontId="13" fillId="2" borderId="1" xfId="0" applyNumberFormat="1" applyFont="1" applyFill="1" applyBorder="1"/>
    <xf numFmtId="1" fontId="13" fillId="2" borderId="2" xfId="0" applyNumberFormat="1" applyFont="1" applyFill="1" applyBorder="1"/>
    <xf numFmtId="1" fontId="13" fillId="2" borderId="0" xfId="0" applyNumberFormat="1" applyFont="1" applyFill="1" applyAlignment="1">
      <alignment horizontal="right"/>
    </xf>
    <xf numFmtId="1" fontId="13" fillId="2" borderId="1" xfId="0" applyNumberFormat="1" applyFont="1" applyFill="1" applyBorder="1" applyAlignment="1">
      <alignment horizontal="right"/>
    </xf>
    <xf numFmtId="1" fontId="19" fillId="2" borderId="0" xfId="0" applyNumberFormat="1" applyFont="1" applyFill="1"/>
    <xf numFmtId="0" fontId="13" fillId="2" borderId="2" xfId="0" applyFont="1" applyFill="1" applyBorder="1" applyAlignment="1">
      <alignment wrapText="1"/>
    </xf>
    <xf numFmtId="0" fontId="13" fillId="2" borderId="0" xfId="0" applyFont="1" applyFill="1" applyAlignment="1">
      <alignment horizontal="left"/>
    </xf>
    <xf numFmtId="0" fontId="13" fillId="2" borderId="1" xfId="0" applyFont="1" applyFill="1" applyBorder="1" applyAlignment="1">
      <alignment horizontal="left"/>
    </xf>
    <xf numFmtId="0" fontId="13" fillId="2" borderId="1" xfId="0" applyFont="1" applyFill="1" applyBorder="1" applyAlignment="1">
      <alignment horizontal="center"/>
    </xf>
    <xf numFmtId="0" fontId="19" fillId="2" borderId="2" xfId="0" applyFont="1" applyFill="1" applyBorder="1" applyAlignment="1">
      <alignment horizontal="center" wrapText="1"/>
    </xf>
    <xf numFmtId="0" fontId="19" fillId="2" borderId="2" xfId="0" applyFont="1" applyFill="1" applyBorder="1" applyAlignment="1">
      <alignment wrapText="1"/>
    </xf>
    <xf numFmtId="0" fontId="13" fillId="2" borderId="2" xfId="0" applyFont="1" applyFill="1" applyBorder="1" applyAlignment="1">
      <alignment horizontal="center"/>
    </xf>
    <xf numFmtId="9" fontId="13" fillId="2" borderId="2" xfId="1" applyFont="1" applyFill="1" applyBorder="1"/>
    <xf numFmtId="9" fontId="13" fillId="2" borderId="0" xfId="1" applyFont="1" applyFill="1"/>
    <xf numFmtId="164" fontId="13" fillId="2" borderId="0" xfId="1" applyNumberFormat="1" applyFont="1" applyFill="1"/>
    <xf numFmtId="10" fontId="13" fillId="2" borderId="0" xfId="1" applyNumberFormat="1" applyFont="1" applyFill="1"/>
    <xf numFmtId="9" fontId="13" fillId="2" borderId="0" xfId="1" applyNumberFormat="1" applyFont="1" applyFill="1"/>
    <xf numFmtId="9" fontId="13" fillId="2" borderId="1" xfId="1" applyFont="1" applyFill="1" applyBorder="1"/>
    <xf numFmtId="10" fontId="13" fillId="2" borderId="1" xfId="1" applyNumberFormat="1" applyFont="1" applyFill="1" applyBorder="1"/>
    <xf numFmtId="164" fontId="13" fillId="2" borderId="1" xfId="1" applyNumberFormat="1" applyFont="1" applyFill="1" applyBorder="1"/>
    <xf numFmtId="10" fontId="13" fillId="2" borderId="2" xfId="1" applyNumberFormat="1" applyFont="1" applyFill="1" applyBorder="1"/>
    <xf numFmtId="164" fontId="13" fillId="2" borderId="2" xfId="1" applyNumberFormat="1" applyFont="1" applyFill="1" applyBorder="1"/>
    <xf numFmtId="1" fontId="13" fillId="2" borderId="2" xfId="0" applyNumberFormat="1" applyFont="1" applyFill="1" applyBorder="1" applyAlignment="1">
      <alignment wrapText="1"/>
    </xf>
    <xf numFmtId="9" fontId="13" fillId="2" borderId="2" xfId="1" applyFont="1" applyFill="1" applyBorder="1" applyAlignment="1">
      <alignment wrapText="1"/>
    </xf>
    <xf numFmtId="10" fontId="13" fillId="2" borderId="2" xfId="1" applyNumberFormat="1" applyFont="1" applyFill="1" applyBorder="1" applyAlignment="1">
      <alignment wrapText="1"/>
    </xf>
    <xf numFmtId="164" fontId="13" fillId="2" borderId="2" xfId="1" applyNumberFormat="1" applyFont="1" applyFill="1" applyBorder="1" applyAlignment="1">
      <alignment wrapText="1"/>
    </xf>
    <xf numFmtId="165" fontId="13" fillId="2" borderId="2" xfId="0" applyNumberFormat="1" applyFont="1" applyFill="1" applyBorder="1" applyAlignment="1">
      <alignment wrapText="1"/>
    </xf>
    <xf numFmtId="1" fontId="13" fillId="2" borderId="0" xfId="0" applyNumberFormat="1" applyFont="1" applyFill="1" applyBorder="1"/>
    <xf numFmtId="9" fontId="13" fillId="2" borderId="0" xfId="1" applyFont="1" applyFill="1" applyBorder="1"/>
    <xf numFmtId="10" fontId="13" fillId="2" borderId="0" xfId="1" applyNumberFormat="1" applyFont="1" applyFill="1" applyBorder="1"/>
    <xf numFmtId="164" fontId="13" fillId="2" borderId="0" xfId="1" applyNumberFormat="1" applyFont="1" applyFill="1" applyBorder="1"/>
    <xf numFmtId="165" fontId="13" fillId="2" borderId="0" xfId="0" applyNumberFormat="1" applyFont="1" applyFill="1" applyBorder="1"/>
    <xf numFmtId="1" fontId="13" fillId="2" borderId="0" xfId="0" applyNumberFormat="1" applyFont="1" applyFill="1" applyBorder="1" applyAlignment="1">
      <alignment wrapText="1"/>
    </xf>
    <xf numFmtId="9" fontId="13" fillId="2" borderId="0" xfId="1" applyFont="1" applyFill="1" applyBorder="1" applyAlignment="1">
      <alignment wrapText="1"/>
    </xf>
    <xf numFmtId="10" fontId="13" fillId="2" borderId="0" xfId="1" applyNumberFormat="1" applyFont="1" applyFill="1" applyBorder="1" applyAlignment="1">
      <alignment wrapText="1"/>
    </xf>
    <xf numFmtId="164" fontId="13" fillId="2" borderId="0" xfId="1" applyNumberFormat="1" applyFont="1" applyFill="1" applyBorder="1" applyAlignment="1">
      <alignment wrapText="1"/>
    </xf>
    <xf numFmtId="165" fontId="13" fillId="2" borderId="0" xfId="0" applyNumberFormat="1" applyFont="1" applyFill="1" applyBorder="1" applyAlignment="1">
      <alignment wrapText="1"/>
    </xf>
    <xf numFmtId="0" fontId="13" fillId="2" borderId="2" xfId="0" applyFont="1" applyFill="1" applyBorder="1" applyAlignment="1">
      <alignment horizontal="center" wrapText="1"/>
    </xf>
    <xf numFmtId="1" fontId="13" fillId="2" borderId="2" xfId="0" applyNumberFormat="1" applyFont="1" applyFill="1" applyBorder="1" applyAlignment="1">
      <alignment horizontal="center" wrapText="1"/>
    </xf>
    <xf numFmtId="0" fontId="13" fillId="2" borderId="3" xfId="0" applyFont="1" applyFill="1" applyBorder="1" applyAlignment="1">
      <alignment wrapText="1"/>
    </xf>
    <xf numFmtId="0" fontId="13" fillId="2" borderId="5" xfId="0" applyFont="1" applyFill="1" applyBorder="1" applyAlignment="1">
      <alignment wrapText="1"/>
    </xf>
    <xf numFmtId="0" fontId="13" fillId="2" borderId="6" xfId="0" applyFont="1" applyFill="1" applyBorder="1" applyAlignment="1">
      <alignment wrapText="1"/>
    </xf>
    <xf numFmtId="0" fontId="13" fillId="2" borderId="7" xfId="0" applyFont="1" applyFill="1" applyBorder="1" applyAlignment="1">
      <alignment wrapText="1"/>
    </xf>
    <xf numFmtId="0" fontId="13" fillId="2" borderId="8" xfId="0" applyFont="1" applyFill="1" applyBorder="1"/>
    <xf numFmtId="0" fontId="13" fillId="2" borderId="10" xfId="0" applyFont="1" applyFill="1" applyBorder="1" applyAlignment="1">
      <alignment wrapText="1"/>
    </xf>
    <xf numFmtId="0" fontId="13" fillId="2" borderId="9" xfId="0" applyFont="1" applyFill="1" applyBorder="1" applyAlignment="1">
      <alignment wrapText="1"/>
    </xf>
    <xf numFmtId="9" fontId="13" fillId="2" borderId="0" xfId="1" applyFont="1" applyFill="1" applyAlignment="1">
      <alignment horizontal="right"/>
    </xf>
    <xf numFmtId="0" fontId="13" fillId="2" borderId="0" xfId="0" applyFont="1" applyFill="1" applyBorder="1" applyAlignment="1">
      <alignment horizontal="right"/>
    </xf>
    <xf numFmtId="1" fontId="13" fillId="2" borderId="2" xfId="0" applyNumberFormat="1" applyFont="1" applyFill="1" applyBorder="1" applyAlignment="1">
      <alignment horizontal="right"/>
    </xf>
    <xf numFmtId="1" fontId="19" fillId="2" borderId="1" xfId="0" applyNumberFormat="1" applyFont="1" applyFill="1" applyBorder="1"/>
    <xf numFmtId="0" fontId="13" fillId="2" borderId="0" xfId="0" applyFont="1" applyFill="1" applyAlignment="1">
      <alignment horizontal="right" wrapText="1"/>
    </xf>
    <xf numFmtId="0" fontId="13" fillId="2" borderId="0" xfId="0" applyFont="1" applyFill="1" applyAlignment="1"/>
    <xf numFmtId="0" fontId="14" fillId="2" borderId="0" xfId="0" applyFont="1" applyFill="1" applyAlignment="1">
      <alignment horizontal="left"/>
    </xf>
    <xf numFmtId="0" fontId="14" fillId="2" borderId="0" xfId="0" applyFont="1" applyFill="1" applyAlignment="1"/>
    <xf numFmtId="0" fontId="14" fillId="2" borderId="0" xfId="0" applyFont="1" applyFill="1" applyAlignment="1">
      <alignment wrapText="1"/>
    </xf>
    <xf numFmtId="0" fontId="22" fillId="2" borderId="0" xfId="4" applyFont="1" applyFill="1" applyBorder="1" applyAlignment="1">
      <alignment vertical="top"/>
    </xf>
    <xf numFmtId="0" fontId="22" fillId="2" borderId="0" xfId="4" applyFont="1" applyFill="1" applyBorder="1" applyAlignment="1">
      <alignment vertical="top" wrapText="1"/>
    </xf>
    <xf numFmtId="0" fontId="13" fillId="2" borderId="0" xfId="4" applyFont="1" applyFill="1" applyBorder="1" applyAlignment="1">
      <alignment vertical="top"/>
    </xf>
    <xf numFmtId="0" fontId="9" fillId="2" borderId="0" xfId="0" applyFont="1" applyFill="1"/>
    <xf numFmtId="0" fontId="13" fillId="2" borderId="0" xfId="4" applyFont="1" applyFill="1" applyBorder="1" applyAlignment="1">
      <alignment horizontal="center" vertical="top" wrapText="1"/>
    </xf>
    <xf numFmtId="0" fontId="23" fillId="2" borderId="0" xfId="5" applyFont="1" applyFill="1" applyBorder="1" applyAlignment="1">
      <alignment vertical="top" wrapText="1"/>
    </xf>
    <xf numFmtId="0" fontId="13" fillId="2" borderId="0" xfId="4" applyFont="1" applyFill="1" applyBorder="1" applyAlignment="1">
      <alignment vertical="top" wrapText="1"/>
    </xf>
    <xf numFmtId="0" fontId="22" fillId="2" borderId="0" xfId="0" applyFont="1" applyFill="1" applyBorder="1" applyAlignment="1">
      <alignment vertical="top"/>
    </xf>
    <xf numFmtId="0" fontId="22" fillId="2" borderId="0" xfId="4" applyFont="1" applyFill="1" applyBorder="1" applyAlignment="1">
      <alignment horizontal="center" vertical="top" wrapText="1"/>
    </xf>
    <xf numFmtId="0" fontId="13" fillId="2" borderId="0" xfId="0" applyFont="1" applyFill="1" applyBorder="1" applyAlignment="1">
      <alignment vertical="top"/>
    </xf>
    <xf numFmtId="0" fontId="7" fillId="2" borderId="0" xfId="5" applyFont="1" applyFill="1" applyBorder="1" applyAlignment="1">
      <alignment vertical="top"/>
    </xf>
    <xf numFmtId="0" fontId="7" fillId="2" borderId="0" xfId="4" applyFont="1" applyFill="1" applyBorder="1" applyAlignment="1">
      <alignment vertical="top" wrapText="1"/>
    </xf>
    <xf numFmtId="0" fontId="7" fillId="2" borderId="0" xfId="4" applyFont="1" applyFill="1" applyBorder="1" applyAlignment="1">
      <alignment vertical="top"/>
    </xf>
    <xf numFmtId="0" fontId="24" fillId="0" borderId="0" xfId="18" applyFont="1" applyBorder="1"/>
    <xf numFmtId="0" fontId="24" fillId="0" borderId="0" xfId="18" applyFont="1" applyFill="1"/>
    <xf numFmtId="0" fontId="24" fillId="0" borderId="0" xfId="18" applyFont="1"/>
    <xf numFmtId="0" fontId="27" fillId="0" borderId="0" xfId="18" applyFont="1" applyFill="1" applyBorder="1" applyAlignment="1"/>
    <xf numFmtId="0" fontId="28" fillId="0" borderId="0" xfId="18" applyFont="1" applyFill="1" applyBorder="1" applyAlignment="1">
      <alignment horizontal="left" vertical="center" wrapText="1"/>
    </xf>
    <xf numFmtId="0" fontId="28" fillId="0" borderId="0" xfId="18" applyFont="1" applyFill="1" applyBorder="1" applyAlignment="1"/>
    <xf numFmtId="0" fontId="29" fillId="0" borderId="0" xfId="18" applyFont="1" applyBorder="1"/>
    <xf numFmtId="0" fontId="28" fillId="0" borderId="0" xfId="18" applyFont="1" applyBorder="1" applyAlignment="1">
      <alignment vertical="center" wrapText="1"/>
    </xf>
    <xf numFmtId="0" fontId="28" fillId="0" borderId="7" xfId="18" applyFont="1" applyFill="1" applyBorder="1" applyAlignment="1">
      <alignment horizontal="center" vertical="center" wrapText="1"/>
    </xf>
    <xf numFmtId="0" fontId="29" fillId="0" borderId="12" xfId="18" applyFont="1" applyBorder="1" applyAlignment="1">
      <alignment vertical="center"/>
    </xf>
    <xf numFmtId="0" fontId="29" fillId="0" borderId="0" xfId="18" applyFont="1" applyAlignment="1">
      <alignment vertical="center"/>
    </xf>
    <xf numFmtId="0" fontId="28" fillId="0" borderId="0" xfId="18" applyFont="1" applyBorder="1" applyAlignment="1">
      <alignment horizontal="center" wrapText="1"/>
    </xf>
    <xf numFmtId="0" fontId="28" fillId="0" borderId="7" xfId="18" applyFont="1" applyFill="1" applyBorder="1" applyAlignment="1">
      <alignment horizontal="center" wrapText="1"/>
    </xf>
    <xf numFmtId="15" fontId="30" fillId="0" borderId="7" xfId="18" applyNumberFormat="1" applyFont="1" applyFill="1" applyBorder="1" applyAlignment="1">
      <alignment horizontal="center" vertical="center" wrapText="1"/>
    </xf>
    <xf numFmtId="0" fontId="29" fillId="0" borderId="12" xfId="18" applyFont="1" applyBorder="1"/>
    <xf numFmtId="0" fontId="29" fillId="0" borderId="0" xfId="18" applyFont="1"/>
    <xf numFmtId="0" fontId="29" fillId="0" borderId="3" xfId="18" applyFont="1" applyBorder="1" applyAlignment="1">
      <alignment wrapText="1"/>
    </xf>
    <xf numFmtId="0" fontId="29" fillId="0" borderId="7" xfId="18" applyFont="1" applyFill="1" applyBorder="1" applyAlignment="1">
      <alignment horizontal="left" vertical="center" wrapText="1"/>
    </xf>
    <xf numFmtId="0" fontId="29" fillId="0" borderId="7" xfId="18" applyFont="1" applyFill="1" applyBorder="1" applyAlignment="1">
      <alignment vertical="center" wrapText="1"/>
    </xf>
    <xf numFmtId="0" fontId="28" fillId="0" borderId="3" xfId="18" applyFont="1" applyBorder="1" applyAlignment="1">
      <alignment wrapText="1"/>
    </xf>
    <xf numFmtId="3" fontId="29" fillId="0" borderId="7" xfId="18" applyNumberFormat="1" applyFont="1" applyFill="1" applyBorder="1" applyAlignment="1">
      <alignment horizontal="left" vertical="center" wrapText="1"/>
    </xf>
    <xf numFmtId="3" fontId="29" fillId="2" borderId="7" xfId="18" applyNumberFormat="1" applyFont="1" applyFill="1" applyBorder="1" applyAlignment="1">
      <alignment horizontal="left" vertical="center" wrapText="1"/>
    </xf>
    <xf numFmtId="166" fontId="29" fillId="0" borderId="7" xfId="18" applyNumberFormat="1" applyFont="1" applyFill="1" applyBorder="1" applyAlignment="1">
      <alignment horizontal="left" vertical="center" wrapText="1"/>
    </xf>
    <xf numFmtId="15" fontId="29" fillId="0" borderId="7" xfId="18" applyNumberFormat="1" applyFont="1" applyFill="1" applyBorder="1" applyAlignment="1">
      <alignment vertical="center" wrapText="1"/>
    </xf>
    <xf numFmtId="15" fontId="29" fillId="0" borderId="7" xfId="18" applyNumberFormat="1" applyFont="1" applyFill="1" applyBorder="1" applyAlignment="1">
      <alignment horizontal="left" vertical="center" wrapText="1"/>
    </xf>
    <xf numFmtId="17" fontId="29" fillId="0" borderId="7" xfId="18" quotePrefix="1" applyNumberFormat="1" applyFont="1" applyFill="1" applyBorder="1" applyAlignment="1">
      <alignment horizontal="left" vertical="center" wrapText="1"/>
    </xf>
    <xf numFmtId="9" fontId="29" fillId="0" borderId="7" xfId="18" applyNumberFormat="1" applyFont="1" applyFill="1" applyBorder="1" applyAlignment="1">
      <alignment horizontal="left" vertical="center" wrapText="1"/>
    </xf>
    <xf numFmtId="0" fontId="24" fillId="0" borderId="3" xfId="18" applyFont="1" applyBorder="1"/>
    <xf numFmtId="0" fontId="24" fillId="0" borderId="3" xfId="18" applyFont="1" applyFill="1" applyBorder="1"/>
    <xf numFmtId="0" fontId="29" fillId="0" borderId="0" xfId="18" applyFont="1" applyFill="1"/>
    <xf numFmtId="0" fontId="33" fillId="0" borderId="0" xfId="21" applyFont="1" applyFill="1"/>
    <xf numFmtId="0" fontId="33" fillId="0" borderId="0" xfId="22" applyFont="1" applyFill="1" applyAlignment="1">
      <alignment vertical="center"/>
    </xf>
    <xf numFmtId="0" fontId="34" fillId="0" borderId="0" xfId="23" applyFont="1" applyFill="1" applyAlignment="1">
      <alignment horizontal="right" vertical="center"/>
    </xf>
    <xf numFmtId="0" fontId="34" fillId="0" borderId="0" xfId="23" applyFont="1" applyFill="1" applyAlignment="1">
      <alignment vertical="center"/>
    </xf>
    <xf numFmtId="0" fontId="29" fillId="0" borderId="0" xfId="22" applyFont="1" applyFill="1" applyAlignment="1">
      <alignment vertical="center"/>
    </xf>
    <xf numFmtId="0" fontId="28" fillId="0" borderId="0" xfId="22" applyFont="1" applyFill="1" applyAlignment="1"/>
    <xf numFmtId="0" fontId="35" fillId="0" borderId="0" xfId="24" applyFont="1" applyAlignment="1">
      <alignment horizontal="left" vertical="center"/>
    </xf>
    <xf numFmtId="49" fontId="35" fillId="0" borderId="0" xfId="25" applyNumberFormat="1" applyFont="1" applyBorder="1" applyAlignment="1" applyProtection="1">
      <alignment horizontal="right" vertical="center"/>
      <protection locked="0"/>
    </xf>
    <xf numFmtId="49" fontId="28" fillId="0" borderId="0" xfId="22" applyNumberFormat="1" applyFont="1" applyBorder="1" applyAlignment="1" applyProtection="1">
      <alignment horizontal="right"/>
      <protection locked="0"/>
    </xf>
    <xf numFmtId="0" fontId="29" fillId="0" borderId="0" xfId="22" applyFont="1" applyFill="1" applyAlignment="1"/>
    <xf numFmtId="0" fontId="29" fillId="0" borderId="0" xfId="22" applyFont="1" applyBorder="1" applyAlignment="1" applyProtection="1">
      <protection locked="0"/>
    </xf>
    <xf numFmtId="49" fontId="29" fillId="0" borderId="0" xfId="22" applyNumberFormat="1" applyFont="1" applyBorder="1" applyAlignment="1" applyProtection="1">
      <alignment horizontal="right"/>
      <protection locked="0"/>
    </xf>
    <xf numFmtId="0" fontId="29" fillId="0" borderId="0" xfId="22" applyFont="1" applyFill="1" applyBorder="1" applyAlignment="1"/>
    <xf numFmtId="0" fontId="29" fillId="0" borderId="3" xfId="22" applyFont="1" applyBorder="1" applyAlignment="1" applyProtection="1">
      <protection locked="0"/>
    </xf>
    <xf numFmtId="167" fontId="29" fillId="0" borderId="3" xfId="26" applyNumberFormat="1" applyFont="1" applyBorder="1" applyAlignment="1" applyProtection="1">
      <protection locked="0"/>
    </xf>
    <xf numFmtId="167" fontId="29" fillId="0" borderId="0" xfId="26" applyNumberFormat="1" applyFont="1" applyBorder="1" applyAlignment="1" applyProtection="1">
      <protection locked="0"/>
    </xf>
    <xf numFmtId="0" fontId="28" fillId="0" borderId="0" xfId="22" applyFont="1" applyFill="1" applyBorder="1" applyAlignment="1"/>
    <xf numFmtId="0" fontId="28" fillId="0" borderId="3" xfId="22" applyFont="1" applyBorder="1" applyAlignment="1" applyProtection="1">
      <protection locked="0"/>
    </xf>
    <xf numFmtId="167" fontId="28" fillId="0" borderId="3" xfId="26" applyNumberFormat="1" applyFont="1" applyBorder="1" applyAlignment="1" applyProtection="1">
      <protection locked="0"/>
    </xf>
    <xf numFmtId="0" fontId="36" fillId="0" borderId="3" xfId="25" quotePrefix="1" applyFont="1" applyBorder="1" applyAlignment="1"/>
    <xf numFmtId="167" fontId="36" fillId="0" borderId="3" xfId="26" applyNumberFormat="1" applyFont="1" applyBorder="1" applyAlignment="1" applyProtection="1">
      <protection locked="0"/>
    </xf>
    <xf numFmtId="0" fontId="28" fillId="0" borderId="3" xfId="22" applyFont="1" applyFill="1" applyBorder="1" applyAlignment="1"/>
    <xf numFmtId="0" fontId="28" fillId="0" borderId="0" xfId="27" applyFont="1" applyFill="1" applyBorder="1" applyAlignment="1" applyProtection="1">
      <protection locked="0"/>
    </xf>
    <xf numFmtId="0" fontId="28" fillId="0" borderId="0" xfId="22" applyFont="1" applyAlignment="1" applyProtection="1">
      <alignment vertical="center"/>
      <protection locked="0"/>
    </xf>
    <xf numFmtId="0" fontId="28" fillId="0" borderId="0" xfId="22" applyFont="1" applyFill="1" applyAlignment="1" applyProtection="1">
      <alignment vertical="center"/>
      <protection locked="0"/>
    </xf>
    <xf numFmtId="0" fontId="28" fillId="0" borderId="0" xfId="22" applyFont="1" applyAlignment="1"/>
    <xf numFmtId="0" fontId="28" fillId="0" borderId="0" xfId="27" applyFont="1" applyBorder="1" applyAlignment="1" applyProtection="1">
      <protection locked="0"/>
    </xf>
    <xf numFmtId="49" fontId="29" fillId="0" borderId="0" xfId="22" quotePrefix="1" applyNumberFormat="1" applyFont="1" applyBorder="1" applyAlignment="1" applyProtection="1">
      <alignment horizontal="right"/>
      <protection locked="0"/>
    </xf>
    <xf numFmtId="49" fontId="29" fillId="0" borderId="0" xfId="26" applyNumberFormat="1" applyFont="1" applyBorder="1" applyAlignment="1" applyProtection="1">
      <alignment horizontal="right"/>
    </xf>
    <xf numFmtId="37" fontId="29" fillId="0" borderId="3" xfId="22" applyNumberFormat="1" applyFont="1" applyBorder="1" applyAlignment="1" applyProtection="1">
      <protection locked="0"/>
    </xf>
    <xf numFmtId="168" fontId="29" fillId="0" borderId="3" xfId="22" applyNumberFormat="1" applyFont="1" applyBorder="1" applyAlignment="1" applyProtection="1">
      <protection locked="0"/>
    </xf>
    <xf numFmtId="37" fontId="28" fillId="0" borderId="0" xfId="22" applyNumberFormat="1" applyFont="1" applyFill="1" applyBorder="1" applyAlignment="1"/>
    <xf numFmtId="37" fontId="29" fillId="0" borderId="0" xfId="22" applyNumberFormat="1" applyFont="1" applyBorder="1" applyAlignment="1" applyProtection="1">
      <protection locked="0"/>
    </xf>
    <xf numFmtId="168" fontId="29" fillId="0" borderId="0" xfId="22" applyNumberFormat="1" applyFont="1" applyBorder="1" applyAlignment="1" applyProtection="1">
      <protection locked="0"/>
    </xf>
    <xf numFmtId="0" fontId="29" fillId="0" borderId="0" xfId="22" applyFont="1" applyBorder="1" applyAlignment="1" applyProtection="1">
      <alignment wrapText="1"/>
      <protection locked="0"/>
    </xf>
    <xf numFmtId="49" fontId="28" fillId="0" borderId="3" xfId="22" applyNumberFormat="1" applyFont="1" applyBorder="1" applyAlignment="1" applyProtection="1">
      <protection locked="0"/>
    </xf>
    <xf numFmtId="37" fontId="28" fillId="0" borderId="3" xfId="22" applyNumberFormat="1" applyFont="1" applyBorder="1" applyAlignment="1" applyProtection="1">
      <protection locked="0"/>
    </xf>
    <xf numFmtId="168" fontId="28" fillId="0" borderId="3" xfId="22" applyNumberFormat="1" applyFont="1" applyBorder="1" applyAlignment="1" applyProtection="1">
      <protection locked="0"/>
    </xf>
    <xf numFmtId="0" fontId="29" fillId="0" borderId="3" xfId="22" applyFont="1" applyFill="1" applyBorder="1" applyAlignment="1"/>
    <xf numFmtId="49" fontId="28" fillId="0" borderId="0" xfId="28" applyNumberFormat="1" applyFont="1" applyBorder="1" applyAlignment="1" applyProtection="1">
      <alignment horizontal="right"/>
      <protection locked="0"/>
    </xf>
    <xf numFmtId="0" fontId="28" fillId="0" borderId="0" xfId="29" applyFont="1" applyBorder="1" applyAlignment="1" applyProtection="1">
      <protection locked="0"/>
    </xf>
    <xf numFmtId="0" fontId="29" fillId="0" borderId="0" xfId="29" applyFont="1" applyAlignment="1"/>
    <xf numFmtId="49" fontId="29" fillId="0" borderId="0" xfId="29" applyNumberFormat="1" applyFont="1" applyAlignment="1">
      <alignment horizontal="right"/>
    </xf>
    <xf numFmtId="49" fontId="29" fillId="0" borderId="0" xfId="29" quotePrefix="1" applyNumberFormat="1" applyFont="1" applyAlignment="1">
      <alignment horizontal="right"/>
    </xf>
    <xf numFmtId="0" fontId="29" fillId="0" borderId="0" xfId="29" applyFont="1" applyBorder="1" applyAlignment="1">
      <alignment horizontal="right"/>
    </xf>
    <xf numFmtId="0" fontId="29" fillId="0" borderId="0" xfId="29" applyFont="1" applyBorder="1" applyAlignment="1"/>
    <xf numFmtId="49" fontId="29" fillId="0" borderId="0" xfId="29" applyNumberFormat="1" applyFont="1" applyBorder="1" applyAlignment="1">
      <alignment horizontal="right"/>
    </xf>
    <xf numFmtId="0" fontId="29" fillId="0" borderId="3" xfId="29" applyFont="1" applyBorder="1" applyAlignment="1" applyProtection="1">
      <protection locked="0"/>
    </xf>
    <xf numFmtId="167" fontId="29" fillId="0" borderId="3" xfId="28" applyNumberFormat="1" applyFont="1" applyBorder="1" applyAlignment="1" applyProtection="1">
      <protection locked="0"/>
    </xf>
    <xf numFmtId="169" fontId="29" fillId="0" borderId="3" xfId="28" applyNumberFormat="1" applyFont="1" applyBorder="1" applyAlignment="1" applyProtection="1">
      <protection locked="0"/>
    </xf>
    <xf numFmtId="0" fontId="29" fillId="0" borderId="0" xfId="29" applyFont="1" applyBorder="1" applyAlignment="1" applyProtection="1">
      <alignment horizontal="right"/>
      <protection locked="0"/>
    </xf>
    <xf numFmtId="0" fontId="29" fillId="0" borderId="0" xfId="29" applyFont="1" applyBorder="1" applyAlignment="1" applyProtection="1">
      <alignment horizontal="left"/>
      <protection locked="0"/>
    </xf>
    <xf numFmtId="10" fontId="29" fillId="0" borderId="0" xfId="30" applyNumberFormat="1" applyFont="1" applyBorder="1" applyAlignment="1" applyProtection="1">
      <protection locked="0"/>
    </xf>
    <xf numFmtId="49" fontId="29" fillId="0" borderId="0" xfId="28" applyNumberFormat="1" applyFont="1" applyBorder="1" applyAlignment="1" applyProtection="1">
      <alignment horizontal="right"/>
      <protection locked="0"/>
    </xf>
    <xf numFmtId="167" fontId="29" fillId="0" borderId="0" xfId="28" applyNumberFormat="1" applyFont="1" applyBorder="1" applyAlignment="1" applyProtection="1">
      <protection locked="0"/>
    </xf>
    <xf numFmtId="49" fontId="29" fillId="0" borderId="3" xfId="28" applyNumberFormat="1" applyFont="1" applyBorder="1" applyAlignment="1" applyProtection="1">
      <alignment horizontal="right"/>
      <protection locked="0"/>
    </xf>
    <xf numFmtId="0" fontId="29" fillId="0" borderId="0" xfId="21" applyFont="1" applyFill="1"/>
    <xf numFmtId="0" fontId="13" fillId="0" borderId="0" xfId="0" applyFont="1" applyFill="1"/>
    <xf numFmtId="164" fontId="13" fillId="3" borderId="0" xfId="1" applyNumberFormat="1" applyFont="1" applyFill="1"/>
    <xf numFmtId="0" fontId="13" fillId="3" borderId="0" xfId="0" applyFont="1" applyFill="1"/>
    <xf numFmtId="164" fontId="13" fillId="4" borderId="0" xfId="1" applyNumberFormat="1" applyFont="1" applyFill="1"/>
    <xf numFmtId="4" fontId="13" fillId="2" borderId="0" xfId="0" applyNumberFormat="1" applyFont="1" applyFill="1"/>
    <xf numFmtId="2" fontId="19" fillId="2" borderId="0" xfId="0" applyNumberFormat="1" applyFont="1" applyFill="1"/>
    <xf numFmtId="4" fontId="19" fillId="2" borderId="0" xfId="0" applyNumberFormat="1" applyFont="1" applyFill="1"/>
    <xf numFmtId="10" fontId="13" fillId="2" borderId="0" xfId="0" applyNumberFormat="1" applyFont="1" applyFill="1"/>
    <xf numFmtId="164" fontId="13" fillId="2" borderId="0" xfId="0" applyNumberFormat="1" applyFont="1" applyFill="1"/>
    <xf numFmtId="1" fontId="13" fillId="5" borderId="0" xfId="0" applyNumberFormat="1" applyFont="1" applyFill="1"/>
    <xf numFmtId="0" fontId="19" fillId="2" borderId="2" xfId="0" applyFont="1" applyFill="1" applyBorder="1" applyAlignment="1">
      <alignment horizontal="center"/>
    </xf>
    <xf numFmtId="0" fontId="19" fillId="2" borderId="0" xfId="0" applyFont="1" applyFill="1" applyBorder="1" applyAlignment="1">
      <alignment wrapText="1"/>
    </xf>
    <xf numFmtId="0" fontId="19" fillId="2" borderId="0" xfId="0" applyFont="1" applyFill="1" applyAlignment="1">
      <alignment horizontal="right"/>
    </xf>
    <xf numFmtId="171" fontId="19" fillId="2" borderId="0" xfId="0" applyNumberFormat="1" applyFont="1" applyFill="1"/>
    <xf numFmtId="171" fontId="19" fillId="2" borderId="0" xfId="0" applyNumberFormat="1" applyFont="1" applyFill="1" applyBorder="1"/>
    <xf numFmtId="165" fontId="19" fillId="2" borderId="0" xfId="0" applyNumberFormat="1" applyFont="1" applyFill="1"/>
    <xf numFmtId="171" fontId="13" fillId="2" borderId="0" xfId="0" applyNumberFormat="1" applyFont="1" applyFill="1"/>
    <xf numFmtId="0" fontId="13" fillId="2" borderId="1" xfId="0" applyFont="1" applyFill="1" applyBorder="1" applyAlignment="1">
      <alignment horizontal="center"/>
    </xf>
    <xf numFmtId="3" fontId="9" fillId="2" borderId="0" xfId="3" applyNumberFormat="1" applyFont="1" applyFill="1" applyAlignment="1">
      <alignment horizontal="right" vertical="top" wrapText="1"/>
    </xf>
    <xf numFmtId="0" fontId="4" fillId="2" borderId="0" xfId="3" applyFont="1" applyFill="1" applyAlignment="1">
      <alignment horizontal="left" vertical="top" wrapText="1"/>
    </xf>
    <xf numFmtId="0" fontId="8" fillId="2" borderId="0" xfId="3" applyFont="1" applyFill="1" applyAlignment="1">
      <alignment horizontal="left" vertical="top" wrapText="1"/>
    </xf>
    <xf numFmtId="164" fontId="38" fillId="2" borderId="0" xfId="1" applyNumberFormat="1" applyFont="1" applyFill="1" applyBorder="1" applyAlignment="1">
      <alignment horizontal="right" vertical="top" wrapText="1"/>
    </xf>
    <xf numFmtId="0" fontId="10" fillId="2" borderId="0" xfId="3" applyFont="1" applyFill="1" applyAlignment="1">
      <alignment horizontal="left" vertical="top" wrapText="1"/>
    </xf>
    <xf numFmtId="164" fontId="9" fillId="2" borderId="0" xfId="3" applyNumberFormat="1" applyFont="1" applyFill="1" applyAlignment="1">
      <alignment horizontal="right" vertical="top" wrapText="1"/>
    </xf>
    <xf numFmtId="164" fontId="5" fillId="2" borderId="0" xfId="0" applyNumberFormat="1" applyFont="1" applyFill="1"/>
    <xf numFmtId="164" fontId="38" fillId="2" borderId="1" xfId="3" applyNumberFormat="1" applyFont="1" applyFill="1" applyBorder="1" applyAlignment="1">
      <alignment horizontal="right" vertical="top" wrapText="1"/>
    </xf>
    <xf numFmtId="164" fontId="38" fillId="2" borderId="0" xfId="3" applyNumberFormat="1" applyFont="1" applyFill="1" applyAlignment="1">
      <alignment horizontal="right" vertical="top" wrapText="1"/>
    </xf>
    <xf numFmtId="164" fontId="38" fillId="2" borderId="3" xfId="3" applyNumberFormat="1" applyFont="1" applyFill="1" applyBorder="1" applyAlignment="1">
      <alignment horizontal="right" vertical="top" wrapText="1"/>
    </xf>
    <xf numFmtId="164" fontId="9" fillId="2" borderId="0" xfId="3" applyNumberFormat="1" applyFont="1" applyFill="1" applyAlignment="1">
      <alignment horizontal="left" vertical="top" wrapText="1"/>
    </xf>
    <xf numFmtId="164" fontId="8" fillId="2" borderId="0" xfId="3" applyNumberFormat="1" applyFont="1" applyFill="1" applyAlignment="1">
      <alignment vertical="top" wrapText="1"/>
    </xf>
    <xf numFmtId="0" fontId="8" fillId="2" borderId="0" xfId="3" applyFont="1" applyFill="1" applyAlignment="1">
      <alignment vertical="top" wrapText="1"/>
    </xf>
    <xf numFmtId="0" fontId="9" fillId="2" borderId="0" xfId="3" applyFont="1" applyFill="1" applyAlignment="1">
      <alignment horizontal="left" vertical="top" wrapText="1"/>
    </xf>
    <xf numFmtId="3" fontId="38" fillId="2" borderId="2" xfId="3" applyNumberFormat="1" applyFont="1" applyFill="1" applyBorder="1" applyAlignment="1">
      <alignment horizontal="right" vertical="top" wrapText="1"/>
    </xf>
    <xf numFmtId="3" fontId="9" fillId="2" borderId="0" xfId="3" applyNumberFormat="1" applyFont="1" applyFill="1" applyAlignment="1">
      <alignment horizontal="left" vertical="top" wrapText="1"/>
    </xf>
    <xf numFmtId="3" fontId="38" fillId="2" borderId="1" xfId="3" applyNumberFormat="1" applyFont="1" applyFill="1" applyBorder="1" applyAlignment="1">
      <alignment horizontal="right" vertical="top" wrapText="1"/>
    </xf>
    <xf numFmtId="3" fontId="38" fillId="2" borderId="0" xfId="3" applyNumberFormat="1" applyFont="1" applyFill="1" applyAlignment="1">
      <alignment horizontal="right" vertical="top" wrapText="1"/>
    </xf>
    <xf numFmtId="3" fontId="7" fillId="2" borderId="0" xfId="3" applyNumberFormat="1" applyFont="1" applyFill="1" applyAlignment="1">
      <alignment horizontal="left" vertical="top" wrapText="1"/>
    </xf>
    <xf numFmtId="0" fontId="6" fillId="2" borderId="0" xfId="3" applyFont="1" applyFill="1" applyAlignment="1">
      <alignment horizontal="left" vertical="top" wrapText="1"/>
    </xf>
    <xf numFmtId="9" fontId="15" fillId="2" borderId="0" xfId="0" applyNumberFormat="1" applyFont="1" applyFill="1"/>
    <xf numFmtId="0" fontId="39" fillId="2" borderId="0" xfId="31" applyFont="1" applyFill="1" applyAlignment="1">
      <alignment vertical="center"/>
    </xf>
    <xf numFmtId="0" fontId="39" fillId="2" borderId="0" xfId="31" applyFont="1" applyFill="1" applyAlignment="1">
      <alignment horizontal="right" vertical="center"/>
    </xf>
    <xf numFmtId="0" fontId="39" fillId="2" borderId="0" xfId="32" applyFont="1" applyFill="1" applyAlignment="1" applyProtection="1">
      <alignment vertical="center"/>
    </xf>
    <xf numFmtId="0" fontId="39" fillId="2" borderId="0" xfId="32" applyFont="1" applyFill="1" applyAlignment="1" applyProtection="1">
      <alignment vertical="center" wrapText="1"/>
    </xf>
    <xf numFmtId="0" fontId="13" fillId="2" borderId="0" xfId="20" applyFont="1" applyFill="1"/>
    <xf numFmtId="49" fontId="39" fillId="2" borderId="0" xfId="26" applyNumberFormat="1" applyFont="1" applyFill="1" applyBorder="1" applyAlignment="1" applyProtection="1">
      <alignment horizontal="left" vertical="center" wrapText="1"/>
      <protection locked="0"/>
    </xf>
    <xf numFmtId="49" fontId="39" fillId="2" borderId="12" xfId="26" applyNumberFormat="1" applyFont="1" applyFill="1" applyBorder="1" applyAlignment="1" applyProtection="1">
      <alignment horizontal="center" vertical="center"/>
      <protection locked="0"/>
    </xf>
    <xf numFmtId="49" fontId="39" fillId="2" borderId="12" xfId="26" applyNumberFormat="1" applyFont="1" applyFill="1" applyBorder="1" applyAlignment="1" applyProtection="1">
      <alignment horizontal="right" vertical="center"/>
      <protection locked="0"/>
    </xf>
    <xf numFmtId="0" fontId="7" fillId="2" borderId="0" xfId="32" applyFont="1" applyFill="1" applyAlignment="1" applyProtection="1"/>
    <xf numFmtId="0" fontId="7" fillId="2" borderId="0" xfId="32" applyFont="1" applyFill="1" applyBorder="1" applyAlignment="1" applyProtection="1">
      <alignment wrapText="1"/>
      <protection locked="0"/>
    </xf>
    <xf numFmtId="49" fontId="7" fillId="2" borderId="0" xfId="32" applyNumberFormat="1" applyFont="1" applyFill="1" applyBorder="1" applyAlignment="1" applyProtection="1">
      <alignment horizontal="right" wrapText="1"/>
      <protection locked="0"/>
    </xf>
    <xf numFmtId="49" fontId="7" fillId="2" borderId="12" xfId="32" applyNumberFormat="1" applyFont="1" applyFill="1" applyBorder="1" applyAlignment="1" applyProtection="1">
      <alignment horizontal="right" wrapText="1"/>
      <protection locked="0"/>
    </xf>
    <xf numFmtId="49" fontId="7" fillId="2" borderId="13" xfId="32" applyNumberFormat="1" applyFont="1" applyFill="1" applyBorder="1" applyAlignment="1" applyProtection="1">
      <alignment horizontal="right" wrapText="1"/>
      <protection locked="0"/>
    </xf>
    <xf numFmtId="0" fontId="7" fillId="2" borderId="0" xfId="32" applyFont="1" applyFill="1" applyProtection="1"/>
    <xf numFmtId="0" fontId="39" fillId="2" borderId="2" xfId="32" applyFont="1" applyFill="1" applyBorder="1" applyAlignment="1" applyProtection="1">
      <alignment wrapText="1"/>
      <protection locked="0"/>
    </xf>
    <xf numFmtId="170" fontId="7" fillId="2" borderId="2" xfId="26" applyNumberFormat="1" applyFont="1" applyFill="1" applyBorder="1" applyAlignment="1" applyProtection="1">
      <alignment horizontal="right"/>
    </xf>
    <xf numFmtId="170" fontId="7" fillId="2" borderId="6" xfId="26" applyNumberFormat="1" applyFont="1" applyFill="1" applyBorder="1" applyAlignment="1" applyProtection="1">
      <alignment horizontal="right"/>
    </xf>
    <xf numFmtId="170" fontId="7" fillId="2" borderId="5" xfId="26" applyNumberFormat="1" applyFont="1" applyFill="1" applyBorder="1" applyAlignment="1" applyProtection="1">
      <alignment horizontal="right"/>
    </xf>
    <xf numFmtId="170" fontId="39" fillId="2" borderId="0" xfId="26" applyNumberFormat="1" applyFont="1" applyFill="1" applyBorder="1" applyAlignment="1" applyProtection="1">
      <alignment horizontal="right"/>
    </xf>
    <xf numFmtId="170" fontId="39" fillId="2" borderId="12" xfId="26" applyNumberFormat="1" applyFont="1" applyFill="1" applyBorder="1" applyAlignment="1" applyProtection="1">
      <alignment horizontal="right"/>
    </xf>
    <xf numFmtId="0" fontId="7" fillId="2" borderId="0" xfId="32" applyFont="1" applyFill="1" applyBorder="1" applyAlignment="1" applyProtection="1">
      <alignment horizontal="left" indent="1"/>
      <protection locked="0"/>
    </xf>
    <xf numFmtId="170" fontId="7" fillId="2" borderId="0" xfId="26" applyNumberFormat="1" applyFont="1" applyFill="1" applyBorder="1" applyAlignment="1" applyProtection="1">
      <alignment horizontal="right"/>
    </xf>
    <xf numFmtId="170" fontId="7" fillId="2" borderId="12" xfId="26" applyNumberFormat="1" applyFont="1" applyFill="1" applyBorder="1" applyAlignment="1" applyProtection="1">
      <alignment horizontal="right"/>
    </xf>
    <xf numFmtId="170" fontId="7" fillId="2" borderId="13" xfId="26" applyNumberFormat="1" applyFont="1" applyFill="1" applyBorder="1" applyAlignment="1" applyProtection="1">
      <alignment horizontal="right"/>
    </xf>
    <xf numFmtId="0" fontId="13" fillId="2" borderId="13" xfId="20" applyFont="1" applyFill="1" applyBorder="1"/>
    <xf numFmtId="0" fontId="7" fillId="2" borderId="0" xfId="32" applyFont="1" applyFill="1" applyBorder="1" applyAlignment="1" applyProtection="1">
      <alignment horizontal="left" wrapText="1" indent="1"/>
      <protection locked="0"/>
    </xf>
    <xf numFmtId="0" fontId="7" fillId="2" borderId="0" xfId="32" applyFont="1" applyFill="1" applyBorder="1" applyAlignment="1" applyProtection="1">
      <alignment horizontal="left"/>
      <protection locked="0"/>
    </xf>
    <xf numFmtId="0" fontId="7" fillId="2" borderId="0" xfId="32" applyFont="1" applyFill="1" applyBorder="1" applyAlignment="1" applyProtection="1">
      <alignment horizontal="left" wrapText="1"/>
      <protection locked="0"/>
    </xf>
    <xf numFmtId="0" fontId="39" fillId="2" borderId="0" xfId="32" applyFont="1" applyFill="1" applyProtection="1"/>
    <xf numFmtId="0" fontId="39" fillId="2" borderId="0" xfId="32" applyFont="1" applyFill="1" applyBorder="1" applyAlignment="1" applyProtection="1">
      <alignment wrapText="1"/>
      <protection locked="0"/>
    </xf>
    <xf numFmtId="170" fontId="39" fillId="2" borderId="13" xfId="26" applyNumberFormat="1" applyFont="1" applyFill="1" applyBorder="1" applyAlignment="1" applyProtection="1">
      <alignment horizontal="right"/>
    </xf>
    <xf numFmtId="0" fontId="14" fillId="2" borderId="0" xfId="20" applyFont="1" applyFill="1"/>
    <xf numFmtId="0" fontId="7" fillId="2" borderId="0" xfId="27" applyFont="1" applyFill="1" applyAlignment="1">
      <alignment vertical="center"/>
    </xf>
    <xf numFmtId="0" fontId="7" fillId="2" borderId="0" xfId="27" applyFont="1" applyFill="1" applyBorder="1" applyAlignment="1">
      <alignment vertical="center"/>
    </xf>
    <xf numFmtId="0" fontId="7" fillId="2" borderId="0" xfId="32" applyFont="1" applyFill="1" applyBorder="1" applyAlignment="1" applyProtection="1">
      <alignment horizontal="left" wrapText="1" indent="2"/>
      <protection locked="0"/>
    </xf>
    <xf numFmtId="0" fontId="7" fillId="2" borderId="12" xfId="27" applyFont="1" applyFill="1" applyBorder="1" applyAlignment="1">
      <alignment vertical="center"/>
    </xf>
    <xf numFmtId="0" fontId="7" fillId="2" borderId="13" xfId="27" applyFont="1" applyFill="1" applyBorder="1" applyAlignment="1">
      <alignment vertical="center"/>
    </xf>
    <xf numFmtId="170" fontId="7" fillId="2" borderId="12" xfId="27" applyNumberFormat="1" applyFont="1" applyFill="1" applyBorder="1" applyAlignment="1">
      <alignment vertical="center"/>
    </xf>
    <xf numFmtId="170" fontId="7" fillId="2" borderId="0" xfId="27" applyNumberFormat="1" applyFont="1" applyFill="1" applyBorder="1" applyAlignment="1">
      <alignment vertical="center"/>
    </xf>
    <xf numFmtId="170" fontId="7" fillId="2" borderId="0" xfId="27" applyNumberFormat="1" applyFont="1" applyFill="1" applyAlignment="1">
      <alignment vertical="center"/>
    </xf>
    <xf numFmtId="170" fontId="7" fillId="2" borderId="13" xfId="27" applyNumberFormat="1" applyFont="1" applyFill="1" applyBorder="1" applyAlignment="1">
      <alignment vertical="center"/>
    </xf>
    <xf numFmtId="0" fontId="39" fillId="2" borderId="0" xfId="27" applyFont="1" applyFill="1" applyAlignment="1">
      <alignment vertical="center" wrapText="1"/>
    </xf>
    <xf numFmtId="170" fontId="39" fillId="2" borderId="0" xfId="27" applyNumberFormat="1" applyFont="1" applyFill="1" applyAlignment="1">
      <alignment vertical="center"/>
    </xf>
    <xf numFmtId="9" fontId="39" fillId="2" borderId="12" xfId="30" applyFont="1" applyFill="1" applyBorder="1" applyAlignment="1">
      <alignment vertical="center"/>
    </xf>
    <xf numFmtId="170" fontId="39" fillId="2" borderId="12" xfId="27" applyNumberFormat="1" applyFont="1" applyFill="1" applyBorder="1" applyAlignment="1">
      <alignment vertical="center"/>
    </xf>
    <xf numFmtId="170" fontId="39" fillId="2" borderId="0" xfId="27" applyNumberFormat="1" applyFont="1" applyFill="1" applyBorder="1" applyAlignment="1">
      <alignment vertical="center"/>
    </xf>
    <xf numFmtId="170" fontId="39" fillId="2" borderId="13" xfId="27" applyNumberFormat="1" applyFont="1" applyFill="1" applyBorder="1" applyAlignment="1">
      <alignment vertical="center"/>
    </xf>
    <xf numFmtId="0" fontId="7" fillId="2" borderId="0" xfId="27" applyFont="1" applyFill="1" applyAlignment="1">
      <alignment vertical="center" wrapText="1"/>
    </xf>
    <xf numFmtId="0" fontId="40" fillId="2" borderId="0" xfId="0" applyFont="1" applyFill="1"/>
    <xf numFmtId="3" fontId="38" fillId="2" borderId="3" xfId="3" applyNumberFormat="1" applyFont="1" applyFill="1" applyBorder="1" applyAlignment="1">
      <alignment horizontal="right" vertical="top" wrapText="1"/>
    </xf>
    <xf numFmtId="9" fontId="38" fillId="2" borderId="1" xfId="1" applyFont="1" applyFill="1" applyBorder="1" applyAlignment="1">
      <alignment horizontal="right" vertical="top" wrapText="1"/>
    </xf>
    <xf numFmtId="0" fontId="13" fillId="2" borderId="1" xfId="0" applyFont="1" applyFill="1" applyBorder="1" applyAlignment="1">
      <alignment horizontal="center"/>
    </xf>
    <xf numFmtId="0" fontId="13" fillId="2" borderId="0" xfId="0" applyFont="1" applyFill="1" applyAlignment="1">
      <alignment horizontal="center"/>
    </xf>
    <xf numFmtId="0" fontId="13" fillId="2" borderId="1" xfId="0" applyFont="1" applyFill="1" applyBorder="1" applyAlignment="1">
      <alignment horizontal="center"/>
    </xf>
    <xf numFmtId="3" fontId="4" fillId="2" borderId="0" xfId="2" applyNumberFormat="1" applyFont="1" applyFill="1" applyAlignment="1">
      <alignment horizontal="left" vertical="top" wrapText="1"/>
    </xf>
    <xf numFmtId="0" fontId="11" fillId="2" borderId="3" xfId="3" applyFont="1" applyFill="1" applyBorder="1" applyAlignment="1">
      <alignment horizontal="left" vertical="top" wrapText="1"/>
    </xf>
    <xf numFmtId="0" fontId="11" fillId="2" borderId="3" xfId="3" applyFont="1" applyFill="1" applyBorder="1" applyAlignment="1">
      <alignment horizontal="left" vertical="top"/>
    </xf>
    <xf numFmtId="0" fontId="11" fillId="2" borderId="0" xfId="3" applyFont="1" applyFill="1" applyAlignment="1">
      <alignment horizontal="left" vertical="top"/>
    </xf>
    <xf numFmtId="0" fontId="28" fillId="0" borderId="7" xfId="18" applyFont="1" applyFill="1" applyBorder="1" applyAlignment="1">
      <alignment horizontal="center" vertical="center" wrapText="1"/>
    </xf>
    <xf numFmtId="0" fontId="28" fillId="0" borderId="12" xfId="18" applyFont="1" applyFill="1" applyBorder="1" applyAlignment="1">
      <alignment horizontal="center" vertical="center" wrapText="1"/>
    </xf>
    <xf numFmtId="0" fontId="28" fillId="0" borderId="6" xfId="18" applyFont="1" applyFill="1" applyBorder="1" applyAlignment="1">
      <alignment horizontal="center" vertical="center" wrapText="1"/>
    </xf>
    <xf numFmtId="0" fontId="28" fillId="0" borderId="5" xfId="18" applyFont="1" applyFill="1" applyBorder="1" applyAlignment="1">
      <alignment horizontal="center" vertical="center" wrapText="1"/>
    </xf>
    <xf numFmtId="0" fontId="35" fillId="0" borderId="0" xfId="24" applyFont="1" applyAlignment="1">
      <alignment horizontal="left" vertical="center"/>
    </xf>
    <xf numFmtId="49" fontId="35" fillId="0" borderId="0" xfId="26" applyNumberFormat="1" applyFont="1" applyBorder="1" applyAlignment="1" applyProtection="1">
      <alignment horizontal="right" vertical="center"/>
      <protection locked="0"/>
    </xf>
    <xf numFmtId="0" fontId="13" fillId="2" borderId="2" xfId="0" applyFont="1" applyFill="1" applyBorder="1" applyAlignment="1">
      <alignment horizontal="center"/>
    </xf>
    <xf numFmtId="0" fontId="19" fillId="2" borderId="2" xfId="0" applyFont="1" applyFill="1" applyBorder="1" applyAlignment="1">
      <alignment horizontal="center"/>
    </xf>
    <xf numFmtId="0" fontId="13" fillId="2" borderId="0" xfId="0" applyFont="1" applyFill="1" applyAlignment="1">
      <alignment horizontal="center"/>
    </xf>
    <xf numFmtId="0" fontId="13" fillId="2" borderId="3" xfId="0" applyFont="1" applyFill="1" applyBorder="1" applyAlignment="1">
      <alignment horizontal="center"/>
    </xf>
    <xf numFmtId="0" fontId="13" fillId="2" borderId="1" xfId="0" applyFont="1" applyFill="1" applyBorder="1" applyAlignment="1">
      <alignment horizontal="center"/>
    </xf>
    <xf numFmtId="0" fontId="13" fillId="2" borderId="3" xfId="0" applyFont="1" applyFill="1" applyBorder="1" applyAlignment="1">
      <alignment horizontal="center" wrapText="1"/>
    </xf>
    <xf numFmtId="0" fontId="13" fillId="2" borderId="7" xfId="0" applyFont="1" applyFill="1" applyBorder="1" applyAlignment="1">
      <alignment horizontal="center" wrapText="1"/>
    </xf>
    <xf numFmtId="0" fontId="13" fillId="2" borderId="8" xfId="0" applyFont="1" applyFill="1" applyBorder="1" applyAlignment="1">
      <alignment horizontal="center" wrapText="1"/>
    </xf>
    <xf numFmtId="0" fontId="13" fillId="2" borderId="10" xfId="0" applyFont="1" applyFill="1" applyBorder="1" applyAlignment="1">
      <alignment horizontal="center"/>
    </xf>
    <xf numFmtId="0" fontId="13" fillId="2" borderId="11" xfId="0" applyFont="1" applyFill="1" applyBorder="1" applyAlignment="1">
      <alignment horizontal="center"/>
    </xf>
    <xf numFmtId="0" fontId="13" fillId="2" borderId="1" xfId="0" applyFont="1" applyFill="1" applyBorder="1" applyAlignment="1">
      <alignment horizontal="center" wrapText="1"/>
    </xf>
    <xf numFmtId="0" fontId="13" fillId="2" borderId="4" xfId="0" applyFont="1" applyFill="1" applyBorder="1" applyAlignment="1">
      <alignment horizontal="center"/>
    </xf>
    <xf numFmtId="0" fontId="13" fillId="2" borderId="10" xfId="0" applyFont="1" applyFill="1" applyBorder="1" applyAlignment="1">
      <alignment horizontal="center" wrapText="1"/>
    </xf>
    <xf numFmtId="0" fontId="13" fillId="2" borderId="11" xfId="0" applyFont="1" applyFill="1" applyBorder="1" applyAlignment="1">
      <alignment horizontal="center" wrapText="1"/>
    </xf>
    <xf numFmtId="0" fontId="13" fillId="2" borderId="9" xfId="0" applyFont="1" applyFill="1" applyBorder="1" applyAlignment="1">
      <alignment horizontal="center" wrapText="1"/>
    </xf>
    <xf numFmtId="0" fontId="13" fillId="2" borderId="0" xfId="0" applyFont="1" applyFill="1" applyAlignment="1">
      <alignment horizontal="center" wrapText="1"/>
    </xf>
    <xf numFmtId="0" fontId="13" fillId="2" borderId="7" xfId="0" applyFont="1" applyFill="1" applyBorder="1" applyAlignment="1">
      <alignment horizontal="center"/>
    </xf>
    <xf numFmtId="0" fontId="13" fillId="2" borderId="4" xfId="0" applyFont="1" applyFill="1" applyBorder="1" applyAlignment="1">
      <alignment horizontal="center" wrapText="1"/>
    </xf>
    <xf numFmtId="1" fontId="13" fillId="2" borderId="2" xfId="0" applyNumberFormat="1" applyFont="1" applyFill="1" applyBorder="1" applyAlignment="1">
      <alignment horizontal="center"/>
    </xf>
    <xf numFmtId="1" fontId="13" fillId="2" borderId="3" xfId="0" applyNumberFormat="1" applyFont="1" applyFill="1" applyBorder="1" applyAlignment="1">
      <alignment horizontal="center" wrapText="1"/>
    </xf>
    <xf numFmtId="1" fontId="13" fillId="2" borderId="1" xfId="0" applyNumberFormat="1" applyFont="1" applyFill="1" applyBorder="1" applyAlignment="1">
      <alignment horizontal="center" wrapText="1"/>
    </xf>
    <xf numFmtId="0" fontId="39" fillId="2" borderId="0" xfId="32" applyFont="1" applyFill="1" applyAlignment="1" applyProtection="1">
      <alignment horizontal="center" vertical="center"/>
    </xf>
    <xf numFmtId="49" fontId="7" fillId="2" borderId="0" xfId="26" applyNumberFormat="1" applyFont="1" applyFill="1" applyBorder="1" applyAlignment="1" applyProtection="1">
      <alignment horizontal="center" vertical="center"/>
      <protection locked="0"/>
    </xf>
    <xf numFmtId="49" fontId="7" fillId="2" borderId="12" xfId="26" applyNumberFormat="1" applyFont="1" applyFill="1" applyBorder="1" applyAlignment="1" applyProtection="1">
      <alignment horizontal="center" vertical="center"/>
      <protection locked="0"/>
    </xf>
    <xf numFmtId="49" fontId="7" fillId="2" borderId="13" xfId="26" applyNumberFormat="1" applyFont="1" applyFill="1" applyBorder="1" applyAlignment="1" applyProtection="1">
      <alignment horizontal="center" vertical="center"/>
      <protection locked="0"/>
    </xf>
    <xf numFmtId="0" fontId="13" fillId="2" borderId="2" xfId="0" applyFont="1" applyFill="1" applyBorder="1" applyAlignment="1">
      <alignment horizontal="center" wrapText="1"/>
    </xf>
    <xf numFmtId="0" fontId="11" fillId="2" borderId="0" xfId="0" applyFont="1" applyFill="1" applyAlignment="1">
      <alignment vertical="center"/>
    </xf>
    <xf numFmtId="14" fontId="9" fillId="2" borderId="14" xfId="0" applyNumberFormat="1" applyFont="1" applyFill="1" applyBorder="1" applyAlignment="1">
      <alignment horizontal="left" vertical="center"/>
    </xf>
    <xf numFmtId="0" fontId="9" fillId="2" borderId="15" xfId="0" applyFont="1" applyFill="1" applyBorder="1" applyAlignment="1">
      <alignment horizontal="right" vertical="center"/>
    </xf>
    <xf numFmtId="0" fontId="9" fillId="2" borderId="15" xfId="0" applyFont="1" applyFill="1" applyBorder="1" applyAlignment="1">
      <alignment horizontal="right" vertical="center" wrapText="1"/>
    </xf>
    <xf numFmtId="0" fontId="9" fillId="2" borderId="16" xfId="0" applyFont="1" applyFill="1" applyBorder="1" applyAlignment="1">
      <alignment horizontal="right" vertical="center"/>
    </xf>
    <xf numFmtId="0" fontId="7" fillId="2" borderId="0" xfId="0" applyFont="1" applyFill="1" applyAlignment="1">
      <alignment vertical="center"/>
    </xf>
    <xf numFmtId="0" fontId="9" fillId="2" borderId="0" xfId="0" applyFont="1" applyFill="1" applyAlignment="1">
      <alignment vertical="center"/>
    </xf>
    <xf numFmtId="0" fontId="9" fillId="2" borderId="17" xfId="0" applyFont="1" applyFill="1" applyBorder="1" applyAlignment="1">
      <alignment vertical="center"/>
    </xf>
    <xf numFmtId="0" fontId="9" fillId="2" borderId="15" xfId="0" applyFont="1" applyFill="1" applyBorder="1" applyAlignment="1">
      <alignment vertical="center"/>
    </xf>
    <xf numFmtId="171" fontId="7" fillId="2" borderId="0" xfId="0" applyNumberFormat="1" applyFont="1" applyFill="1" applyAlignment="1">
      <alignment horizontal="right" vertical="center"/>
    </xf>
    <xf numFmtId="171" fontId="7" fillId="2" borderId="0" xfId="0" applyNumberFormat="1" applyFont="1" applyFill="1" applyAlignment="1">
      <alignment horizontal="right" vertical="center" wrapText="1"/>
    </xf>
    <xf numFmtId="171" fontId="7" fillId="2" borderId="17" xfId="0" applyNumberFormat="1" applyFont="1" applyFill="1" applyBorder="1" applyAlignment="1">
      <alignment horizontal="right" vertical="center"/>
    </xf>
    <xf numFmtId="171" fontId="9" fillId="2" borderId="0" xfId="0" applyNumberFormat="1" applyFont="1" applyFill="1" applyAlignment="1">
      <alignment horizontal="right" vertical="center"/>
    </xf>
    <xf numFmtId="171" fontId="9" fillId="2" borderId="0" xfId="0" applyNumberFormat="1" applyFont="1" applyFill="1" applyAlignment="1">
      <alignment horizontal="right" vertical="center" wrapText="1"/>
    </xf>
    <xf numFmtId="171" fontId="7" fillId="2" borderId="15" xfId="0" applyNumberFormat="1" applyFont="1" applyFill="1" applyBorder="1" applyAlignment="1">
      <alignment horizontal="right" vertical="center"/>
    </xf>
    <xf numFmtId="0" fontId="41" fillId="2" borderId="17" xfId="0" applyFont="1" applyFill="1" applyBorder="1" applyAlignment="1">
      <alignment horizontal="center" vertical="center"/>
    </xf>
    <xf numFmtId="0" fontId="41" fillId="2" borderId="0" xfId="0" applyFont="1" applyFill="1" applyAlignment="1">
      <alignment vertical="center"/>
    </xf>
    <xf numFmtId="0" fontId="41" fillId="2" borderId="18" xfId="0" applyFont="1" applyFill="1" applyBorder="1" applyAlignment="1">
      <alignment horizontal="center" vertical="center"/>
    </xf>
    <xf numFmtId="0" fontId="42" fillId="2" borderId="17" xfId="0" applyFont="1" applyFill="1" applyBorder="1" applyAlignment="1">
      <alignment vertical="center"/>
    </xf>
    <xf numFmtId="0" fontId="41" fillId="2" borderId="17" xfId="0" applyFont="1" applyFill="1" applyBorder="1" applyAlignment="1">
      <alignment vertical="center"/>
    </xf>
    <xf numFmtId="0" fontId="41" fillId="2" borderId="18" xfId="0" applyFont="1" applyFill="1" applyBorder="1" applyAlignment="1">
      <alignment vertical="center"/>
    </xf>
    <xf numFmtId="171" fontId="43" fillId="2" borderId="0" xfId="0" applyNumberFormat="1" applyFont="1" applyFill="1" applyAlignment="1">
      <alignment horizontal="right" vertical="center"/>
    </xf>
    <xf numFmtId="171" fontId="43" fillId="2" borderId="18" xfId="0" applyNumberFormat="1" applyFont="1" applyFill="1" applyBorder="1" applyAlignment="1">
      <alignment vertical="center"/>
    </xf>
    <xf numFmtId="171" fontId="11" fillId="2" borderId="0" xfId="0" applyNumberFormat="1" applyFont="1" applyFill="1" applyAlignment="1">
      <alignment horizontal="right" vertical="center"/>
    </xf>
    <xf numFmtId="171" fontId="11" fillId="2" borderId="0" xfId="0" applyNumberFormat="1" applyFont="1" applyFill="1" applyAlignment="1">
      <alignment vertical="center"/>
    </xf>
    <xf numFmtId="171" fontId="43" fillId="2" borderId="17" xfId="0" applyNumberFormat="1" applyFont="1" applyFill="1" applyBorder="1" applyAlignment="1">
      <alignment horizontal="right" vertical="center"/>
    </xf>
    <xf numFmtId="171" fontId="43" fillId="2" borderId="17" xfId="0" applyNumberFormat="1" applyFont="1" applyFill="1" applyBorder="1" applyAlignment="1">
      <alignment vertical="center"/>
    </xf>
    <xf numFmtId="0" fontId="16" fillId="0" borderId="19" xfId="0" applyFont="1" applyBorder="1"/>
    <xf numFmtId="0" fontId="24" fillId="0" borderId="0" xfId="0" applyFont="1"/>
    <xf numFmtId="0" fontId="24" fillId="0" borderId="19" xfId="0" applyFont="1" applyBorder="1"/>
  </cellXfs>
  <cellStyles count="33">
    <cellStyle name="=C:\WINNT35\SYSTEM32\COMMAND.COM 2" xfId="6"/>
    <cellStyle name="Hyperlink" xfId="5" builtinId="8"/>
    <cellStyle name="Hyperlink 2" xfId="19"/>
    <cellStyle name="Normal" xfId="0" builtinId="0"/>
    <cellStyle name="Normal 10" xfId="27"/>
    <cellStyle name="Normal 2" xfId="3"/>
    <cellStyle name="Normal 2 10 2" xfId="16"/>
    <cellStyle name="Normal 2 10 3" xfId="10"/>
    <cellStyle name="Normal 2 2" xfId="2"/>
    <cellStyle name="Normal 2 2 2 4" xfId="9"/>
    <cellStyle name="Normal 2 3" xfId="15"/>
    <cellStyle name="Normal 2 3 2" xfId="14"/>
    <cellStyle name="Normal 3" xfId="8"/>
    <cellStyle name="Normal 30" xfId="18"/>
    <cellStyle name="Normal 4" xfId="4"/>
    <cellStyle name="Normal 5" xfId="20"/>
    <cellStyle name="Normal 56" xfId="23"/>
    <cellStyle name="Normal 56 2" xfId="31"/>
    <cellStyle name="Normal 65" xfId="29"/>
    <cellStyle name="Normal_7" xfId="24"/>
    <cellStyle name="Normal_Ark3" xfId="32"/>
    <cellStyle name="Normal_betty1" xfId="26"/>
    <cellStyle name="Normal_betty1 2 2" xfId="28"/>
    <cellStyle name="Normal_Kontantstrøm 2" xfId="22"/>
    <cellStyle name="Normal_Kontantstrøm_7" xfId="25"/>
    <cellStyle name="Normal_Utlån" xfId="21"/>
    <cellStyle name="Percent" xfId="1" builtinId="5"/>
    <cellStyle name="Percent 10" xfId="7"/>
    <cellStyle name="Percent 2" xfId="30"/>
    <cellStyle name="Percent 2 2 2" xfId="13"/>
    <cellStyle name="Percent 3" xfId="11"/>
    <cellStyle name="Percent 3 3" xfId="12"/>
    <cellStyle name="Tusental 3 2" xfId="17"/>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xdr:colOff>
      <xdr:row>7</xdr:row>
      <xdr:rowOff>47625</xdr:rowOff>
    </xdr:from>
    <xdr:ext cx="5970773" cy="4501857"/>
    <xdr:pic>
      <xdr:nvPicPr>
        <xdr:cNvPr id="2" name="Picture 1"/>
        <xdr:cNvPicPr>
          <a:picLocks noChangeAspect="1"/>
        </xdr:cNvPicPr>
      </xdr:nvPicPr>
      <xdr:blipFill>
        <a:blip xmlns:r="http://schemas.openxmlformats.org/officeDocument/2006/relationships" r:embed="rId1"/>
        <a:stretch>
          <a:fillRect/>
        </a:stretch>
      </xdr:blipFill>
      <xdr:spPr>
        <a:xfrm>
          <a:off x="66675" y="1327785"/>
          <a:ext cx="5970773" cy="4501857"/>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workbookViewId="0">
      <selection activeCell="E13" sqref="E13"/>
    </sheetView>
  </sheetViews>
  <sheetFormatPr defaultColWidth="29" defaultRowHeight="13.8"/>
  <cols>
    <col min="1" max="1" width="60.5546875" style="1" customWidth="1"/>
    <col min="2" max="3" width="20.44140625" style="1" customWidth="1"/>
    <col min="4" max="16384" width="29" style="1"/>
  </cols>
  <sheetData>
    <row r="1" spans="1:4">
      <c r="A1" s="292" t="s">
        <v>0</v>
      </c>
      <c r="B1" s="292"/>
      <c r="C1" s="292"/>
    </row>
    <row r="2" spans="1:4">
      <c r="A2" s="236"/>
      <c r="B2" s="235"/>
      <c r="C2" s="235"/>
    </row>
    <row r="3" spans="1:4">
      <c r="A3" s="2" t="s">
        <v>1431</v>
      </c>
      <c r="B3" s="3">
        <v>2019</v>
      </c>
      <c r="C3" s="3">
        <v>2018</v>
      </c>
    </row>
    <row r="4" spans="1:4">
      <c r="A4" s="218" t="s">
        <v>1</v>
      </c>
      <c r="B4" s="234">
        <v>166800.91177999999</v>
      </c>
      <c r="C4" s="234">
        <v>120679.12827402601</v>
      </c>
      <c r="D4" s="1" t="s">
        <v>1438</v>
      </c>
    </row>
    <row r="5" spans="1:4">
      <c r="A5" s="218" t="s">
        <v>2</v>
      </c>
      <c r="B5" s="234">
        <v>186800.91177999999</v>
      </c>
      <c r="C5" s="234">
        <v>120679.12827402601</v>
      </c>
    </row>
    <row r="6" spans="1:4">
      <c r="A6" s="4" t="s">
        <v>3</v>
      </c>
      <c r="B6" s="233">
        <v>241800.91177999999</v>
      </c>
      <c r="C6" s="233">
        <v>171579.12827402601</v>
      </c>
    </row>
    <row r="7" spans="1:4">
      <c r="A7" s="218"/>
      <c r="B7" s="232"/>
      <c r="C7" s="230"/>
    </row>
    <row r="8" spans="1:4">
      <c r="A8" s="229" t="s">
        <v>1432</v>
      </c>
      <c r="B8" s="229"/>
      <c r="C8" s="229"/>
    </row>
    <row r="9" spans="1:4">
      <c r="A9" s="5" t="s">
        <v>1433</v>
      </c>
      <c r="B9" s="231">
        <v>1350324</v>
      </c>
      <c r="C9" s="231">
        <v>884093</v>
      </c>
    </row>
    <row r="10" spans="1:4">
      <c r="A10" s="218"/>
      <c r="B10" s="230"/>
      <c r="C10" s="230"/>
    </row>
    <row r="11" spans="1:4">
      <c r="A11" s="229" t="s">
        <v>1434</v>
      </c>
      <c r="B11" s="229"/>
      <c r="C11" s="228"/>
    </row>
    <row r="12" spans="1:4">
      <c r="A12" s="6" t="s">
        <v>5</v>
      </c>
      <c r="B12" s="226">
        <v>0.124</v>
      </c>
      <c r="C12" s="226">
        <v>0.13700000000000001</v>
      </c>
    </row>
    <row r="13" spans="1:4">
      <c r="A13" s="218" t="s">
        <v>6</v>
      </c>
      <c r="B13" s="225">
        <v>0.13800000000000001</v>
      </c>
      <c r="C13" s="225">
        <v>0.13700000000000001</v>
      </c>
    </row>
    <row r="14" spans="1:4">
      <c r="A14" s="4" t="s">
        <v>7</v>
      </c>
      <c r="B14" s="224">
        <v>0.17899999999999999</v>
      </c>
      <c r="C14" s="224">
        <v>0.19400000000000001</v>
      </c>
    </row>
    <row r="15" spans="1:4">
      <c r="A15" s="218"/>
      <c r="B15" s="227"/>
      <c r="C15" s="227"/>
    </row>
    <row r="16" spans="1:4">
      <c r="A16" s="219" t="s">
        <v>1435</v>
      </c>
      <c r="B16" s="227"/>
      <c r="C16" s="227"/>
    </row>
    <row r="17" spans="1:4">
      <c r="A17" s="6" t="s">
        <v>8</v>
      </c>
      <c r="B17" s="226">
        <v>2.5000000000000001E-2</v>
      </c>
      <c r="C17" s="226">
        <v>2.5000000000000001E-2</v>
      </c>
    </row>
    <row r="18" spans="1:4">
      <c r="A18" s="218" t="s">
        <v>9</v>
      </c>
      <c r="B18" s="225">
        <v>1.56E-4</v>
      </c>
      <c r="C18" s="225">
        <v>4.0000000000000002E-4</v>
      </c>
    </row>
    <row r="19" spans="1:4">
      <c r="A19" s="218" t="s">
        <v>10</v>
      </c>
      <c r="B19" s="225">
        <v>0.01</v>
      </c>
      <c r="C19" s="225">
        <v>0.01</v>
      </c>
    </row>
    <row r="20" spans="1:4">
      <c r="A20" s="218" t="s">
        <v>1436</v>
      </c>
      <c r="B20" s="225">
        <v>0.01</v>
      </c>
      <c r="C20" s="225">
        <v>5.0000000000000001E-3</v>
      </c>
    </row>
    <row r="21" spans="1:4">
      <c r="A21" s="218" t="s">
        <v>1437</v>
      </c>
      <c r="B21" s="225">
        <v>4.1999999999999997E-3</v>
      </c>
      <c r="C21" s="225">
        <v>3.8999999999999998E-3</v>
      </c>
    </row>
    <row r="22" spans="1:4">
      <c r="A22" s="218" t="s">
        <v>11</v>
      </c>
      <c r="B22" s="225">
        <v>4.9000000000000002E-2</v>
      </c>
      <c r="C22" s="225">
        <v>4.3999999999999997E-2</v>
      </c>
      <c r="D22" s="223"/>
    </row>
    <row r="23" spans="1:4">
      <c r="A23" s="4" t="s">
        <v>12</v>
      </c>
      <c r="B23" s="224">
        <v>7.4999999999999997E-2</v>
      </c>
      <c r="C23" s="224">
        <v>9.2999999999999999E-2</v>
      </c>
      <c r="D23" s="223"/>
    </row>
    <row r="24" spans="1:4">
      <c r="A24" s="218"/>
      <c r="B24" s="222"/>
      <c r="C24" s="222"/>
    </row>
    <row r="25" spans="1:4">
      <c r="A25" s="2" t="s">
        <v>13</v>
      </c>
      <c r="B25" s="7"/>
      <c r="C25" s="7"/>
    </row>
    <row r="26" spans="1:4">
      <c r="A26" s="221" t="s">
        <v>14</v>
      </c>
      <c r="B26" s="220">
        <v>6.1509000000000001E-2</v>
      </c>
      <c r="C26" s="220">
        <v>7.3040670000000002E-2</v>
      </c>
    </row>
    <row r="27" spans="1:4">
      <c r="A27" s="6"/>
      <c r="B27" s="8"/>
      <c r="C27" s="8"/>
    </row>
    <row r="28" spans="1:4">
      <c r="A28" s="219" t="s">
        <v>15</v>
      </c>
      <c r="B28" s="9" t="s">
        <v>16</v>
      </c>
      <c r="C28" s="9" t="s">
        <v>16</v>
      </c>
    </row>
    <row r="29" spans="1:4">
      <c r="A29" s="6" t="s">
        <v>1472</v>
      </c>
      <c r="B29" s="287">
        <v>1255592.1009480001</v>
      </c>
      <c r="C29" s="287">
        <v>680501.12884350005</v>
      </c>
    </row>
    <row r="30" spans="1:4">
      <c r="A30" s="218" t="s">
        <v>1473</v>
      </c>
      <c r="B30" s="234">
        <v>866840.10780392587</v>
      </c>
      <c r="C30" s="234">
        <v>458257.24432879576</v>
      </c>
    </row>
    <row r="31" spans="1:4">
      <c r="A31" s="4" t="s">
        <v>17</v>
      </c>
      <c r="B31" s="288">
        <v>1.4484702422560352</v>
      </c>
      <c r="C31" s="288">
        <v>1.4849762600921288</v>
      </c>
    </row>
    <row r="32" spans="1:4">
      <c r="A32" s="218"/>
      <c r="B32" s="217"/>
      <c r="C32" s="217"/>
    </row>
    <row r="33" spans="1:3">
      <c r="A33" s="219" t="s">
        <v>18</v>
      </c>
      <c r="B33" s="9"/>
      <c r="C33" s="9" t="s">
        <v>16</v>
      </c>
    </row>
    <row r="34" spans="1:3">
      <c r="A34" s="6" t="s">
        <v>1474</v>
      </c>
      <c r="B34" s="287">
        <v>1975217.8679452583</v>
      </c>
      <c r="C34" s="287">
        <v>1106019.085509856</v>
      </c>
    </row>
    <row r="35" spans="1:3">
      <c r="A35" s="218" t="s">
        <v>1475</v>
      </c>
      <c r="B35" s="234">
        <v>1291871.9215484683</v>
      </c>
      <c r="C35" s="234">
        <v>747554.129096622</v>
      </c>
    </row>
    <row r="36" spans="1:3">
      <c r="A36" s="218" t="s">
        <v>1476</v>
      </c>
      <c r="B36" s="234">
        <v>683345.94639678998</v>
      </c>
      <c r="C36" s="234">
        <v>358464.956413234</v>
      </c>
    </row>
    <row r="37" spans="1:3">
      <c r="A37" s="4" t="s">
        <v>22</v>
      </c>
      <c r="B37" s="288">
        <v>1.5289579678902807</v>
      </c>
      <c r="C37" s="288">
        <v>1.4795170576429284</v>
      </c>
    </row>
    <row r="38" spans="1:3">
      <c r="A38" s="293" t="s">
        <v>23</v>
      </c>
      <c r="B38" s="294"/>
      <c r="C38" s="294"/>
    </row>
    <row r="39" spans="1:3">
      <c r="A39" s="295"/>
      <c r="B39" s="295"/>
      <c r="C39" s="295"/>
    </row>
  </sheetData>
  <mergeCells count="2">
    <mergeCell ref="A1:C1"/>
    <mergeCell ref="A38:C3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heetViews>
  <sheetFormatPr defaultColWidth="9.109375" defaultRowHeight="13.2"/>
  <cols>
    <col min="1" max="1" width="77.5546875" style="10" customWidth="1"/>
    <col min="2" max="2" width="9.109375" style="10"/>
    <col min="3" max="3" width="14.44140625" style="10" customWidth="1"/>
    <col min="4" max="16384" width="9.109375" style="10"/>
  </cols>
  <sheetData>
    <row r="1" spans="1:3">
      <c r="A1" s="11" t="s">
        <v>34</v>
      </c>
      <c r="C1" s="15" t="s">
        <v>121</v>
      </c>
    </row>
    <row r="3" spans="1:3">
      <c r="A3" s="10" t="s">
        <v>35</v>
      </c>
      <c r="C3" s="10">
        <v>8</v>
      </c>
    </row>
    <row r="4" spans="1:3">
      <c r="A4" s="10" t="s">
        <v>36</v>
      </c>
      <c r="C4" s="10">
        <v>9</v>
      </c>
    </row>
    <row r="5" spans="1:3">
      <c r="A5" s="10" t="s">
        <v>37</v>
      </c>
      <c r="C5" s="10">
        <v>10</v>
      </c>
    </row>
    <row r="6" spans="1:3">
      <c r="A6" s="10" t="s">
        <v>38</v>
      </c>
      <c r="C6" s="10">
        <v>11</v>
      </c>
    </row>
    <row r="7" spans="1:3">
      <c r="A7" s="10" t="s">
        <v>39</v>
      </c>
      <c r="C7" s="10">
        <v>12</v>
      </c>
    </row>
    <row r="8" spans="1:3">
      <c r="A8" s="10" t="s">
        <v>40</v>
      </c>
      <c r="C8" s="10">
        <v>13</v>
      </c>
    </row>
    <row r="9" spans="1:3">
      <c r="A9" s="10" t="s">
        <v>41</v>
      </c>
      <c r="C9" s="10">
        <v>14</v>
      </c>
    </row>
    <row r="10" spans="1:3">
      <c r="A10" s="10" t="s">
        <v>42</v>
      </c>
      <c r="C10" s="10">
        <v>15</v>
      </c>
    </row>
    <row r="11" spans="1:3">
      <c r="A11" s="10" t="s">
        <v>43</v>
      </c>
      <c r="C11" s="10">
        <v>16</v>
      </c>
    </row>
    <row r="12" spans="1:3">
      <c r="A12" s="10" t="s">
        <v>44</v>
      </c>
      <c r="C12" s="10">
        <v>17</v>
      </c>
    </row>
    <row r="13" spans="1:3">
      <c r="A13" s="10" t="s">
        <v>45</v>
      </c>
      <c r="C13" s="10">
        <v>18</v>
      </c>
    </row>
    <row r="14" spans="1:3">
      <c r="A14" s="10" t="s">
        <v>46</v>
      </c>
      <c r="C14" s="10">
        <v>19</v>
      </c>
    </row>
    <row r="15" spans="1:3">
      <c r="A15" s="10" t="s">
        <v>47</v>
      </c>
      <c r="C15" s="10">
        <v>20</v>
      </c>
    </row>
    <row r="16" spans="1:3">
      <c r="A16" s="10" t="s">
        <v>48</v>
      </c>
      <c r="C16" s="10">
        <v>21</v>
      </c>
    </row>
    <row r="17" spans="1:3">
      <c r="A17" s="10" t="s">
        <v>49</v>
      </c>
      <c r="C17" s="10">
        <v>22</v>
      </c>
    </row>
    <row r="18" spans="1:3">
      <c r="A18" s="10" t="s">
        <v>50</v>
      </c>
      <c r="C18" s="10">
        <v>23</v>
      </c>
    </row>
    <row r="19" spans="1:3">
      <c r="A19" s="10" t="s">
        <v>51</v>
      </c>
      <c r="C19" s="10">
        <v>24</v>
      </c>
    </row>
    <row r="20" spans="1:3">
      <c r="A20" s="10" t="s">
        <v>52</v>
      </c>
      <c r="C20" s="10">
        <v>25</v>
      </c>
    </row>
    <row r="21" spans="1:3">
      <c r="A21" s="10" t="s">
        <v>53</v>
      </c>
      <c r="C21" s="10">
        <v>26</v>
      </c>
    </row>
    <row r="22" spans="1:3">
      <c r="A22" s="10" t="s">
        <v>54</v>
      </c>
      <c r="C22" s="10">
        <v>27</v>
      </c>
    </row>
    <row r="23" spans="1:3">
      <c r="A23" s="10" t="s">
        <v>55</v>
      </c>
      <c r="C23" s="10">
        <v>28</v>
      </c>
    </row>
    <row r="24" spans="1:3">
      <c r="A24" s="10" t="s">
        <v>56</v>
      </c>
      <c r="C24" s="10">
        <v>29</v>
      </c>
    </row>
    <row r="25" spans="1:3">
      <c r="A25" s="10" t="s">
        <v>57</v>
      </c>
      <c r="C25" s="10">
        <v>30</v>
      </c>
    </row>
    <row r="26" spans="1:3">
      <c r="A26" s="10" t="s">
        <v>58</v>
      </c>
      <c r="C26" s="10">
        <v>31</v>
      </c>
    </row>
    <row r="27" spans="1:3">
      <c r="A27" s="10" t="s">
        <v>59</v>
      </c>
      <c r="C27" s="10">
        <v>32</v>
      </c>
    </row>
    <row r="28" spans="1:3">
      <c r="A28" s="10" t="s">
        <v>60</v>
      </c>
      <c r="C28" s="10">
        <v>33</v>
      </c>
    </row>
    <row r="29" spans="1:3">
      <c r="A29" s="10" t="s">
        <v>61</v>
      </c>
      <c r="C29" s="10">
        <v>34</v>
      </c>
    </row>
    <row r="30" spans="1:3">
      <c r="A30" s="10" t="s">
        <v>62</v>
      </c>
      <c r="C30" s="10">
        <v>35</v>
      </c>
    </row>
    <row r="31" spans="1:3">
      <c r="A31" s="10" t="s">
        <v>63</v>
      </c>
      <c r="C31" s="10">
        <v>36</v>
      </c>
    </row>
    <row r="32" spans="1:3">
      <c r="A32" s="10" t="s">
        <v>64</v>
      </c>
      <c r="C32" s="10">
        <v>37</v>
      </c>
    </row>
    <row r="33" spans="1:3">
      <c r="A33" s="10" t="s">
        <v>65</v>
      </c>
      <c r="C33" s="10">
        <v>38</v>
      </c>
    </row>
    <row r="34" spans="1:3">
      <c r="A34" s="10" t="s">
        <v>66</v>
      </c>
      <c r="C34" s="10">
        <v>39</v>
      </c>
    </row>
    <row r="35" spans="1:3">
      <c r="A35" s="10" t="s">
        <v>67</v>
      </c>
      <c r="C35" s="10">
        <v>40</v>
      </c>
    </row>
    <row r="36" spans="1:3">
      <c r="A36" s="10" t="s">
        <v>68</v>
      </c>
      <c r="C36" s="10">
        <v>41</v>
      </c>
    </row>
    <row r="37" spans="1:3">
      <c r="A37" s="10" t="s">
        <v>69</v>
      </c>
      <c r="C37" s="10">
        <v>42</v>
      </c>
    </row>
    <row r="38" spans="1:3">
      <c r="A38" s="10" t="s">
        <v>70</v>
      </c>
      <c r="C38" s="10">
        <v>43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workbookViewId="0">
      <selection activeCell="C19" sqref="C19"/>
    </sheetView>
  </sheetViews>
  <sheetFormatPr defaultColWidth="9.109375" defaultRowHeight="13.2"/>
  <cols>
    <col min="1" max="1" width="5.33203125" style="10" customWidth="1"/>
    <col min="2" max="2" width="68.33203125" style="10" customWidth="1"/>
    <col min="3" max="3" width="14.6640625" style="10" customWidth="1"/>
    <col min="4" max="4" width="16" style="10" customWidth="1"/>
    <col min="5" max="5" width="14.6640625" style="10" customWidth="1"/>
    <col min="6" max="6" width="11.5546875" style="10" customWidth="1"/>
    <col min="7" max="16384" width="9.109375" style="10"/>
  </cols>
  <sheetData>
    <row r="1" spans="1:6">
      <c r="B1" s="11" t="s">
        <v>210</v>
      </c>
    </row>
    <row r="5" spans="1:6">
      <c r="B5" s="12"/>
      <c r="C5" s="12" t="s">
        <v>192</v>
      </c>
      <c r="D5" s="12" t="s">
        <v>193</v>
      </c>
      <c r="E5" s="12" t="s">
        <v>211</v>
      </c>
      <c r="F5" s="12" t="s">
        <v>212</v>
      </c>
    </row>
    <row r="6" spans="1:6" ht="15" customHeight="1">
      <c r="C6" s="302" t="s">
        <v>219</v>
      </c>
      <c r="D6" s="302"/>
      <c r="E6" s="302"/>
      <c r="F6" s="302"/>
    </row>
    <row r="7" spans="1:6">
      <c r="B7" s="12" t="s">
        <v>220</v>
      </c>
      <c r="C7" s="12" t="s">
        <v>1136</v>
      </c>
      <c r="D7" s="12" t="s">
        <v>1127</v>
      </c>
      <c r="E7" s="12" t="s">
        <v>1384</v>
      </c>
      <c r="F7" s="16" t="s">
        <v>209</v>
      </c>
    </row>
    <row r="8" spans="1:6">
      <c r="B8" s="13" t="s">
        <v>195</v>
      </c>
      <c r="C8" s="13"/>
      <c r="D8" s="13"/>
      <c r="E8" s="13"/>
      <c r="F8" s="13"/>
    </row>
    <row r="9" spans="1:6">
      <c r="A9" s="10">
        <v>1</v>
      </c>
      <c r="B9" s="10" t="s">
        <v>437</v>
      </c>
    </row>
    <row r="10" spans="1:6">
      <c r="A10" s="10">
        <v>2</v>
      </c>
      <c r="B10" s="10" t="s">
        <v>438</v>
      </c>
      <c r="C10" s="43"/>
      <c r="D10" s="43"/>
      <c r="E10" s="43"/>
      <c r="F10" s="43"/>
    </row>
    <row r="11" spans="1:6">
      <c r="A11" s="10">
        <v>3</v>
      </c>
      <c r="B11" s="10" t="s">
        <v>439</v>
      </c>
      <c r="C11" s="43"/>
      <c r="D11" s="43"/>
      <c r="E11" s="43"/>
      <c r="F11" s="43"/>
    </row>
    <row r="12" spans="1:6">
      <c r="A12" s="10">
        <v>4</v>
      </c>
      <c r="B12" s="10" t="s">
        <v>440</v>
      </c>
      <c r="C12" s="43"/>
      <c r="D12" s="43"/>
      <c r="E12" s="43"/>
      <c r="F12" s="43"/>
    </row>
    <row r="13" spans="1:6">
      <c r="A13" s="10">
        <v>5</v>
      </c>
      <c r="B13" s="10" t="s">
        <v>441</v>
      </c>
      <c r="C13" s="43"/>
      <c r="D13" s="43"/>
      <c r="E13" s="43"/>
      <c r="F13" s="43"/>
    </row>
    <row r="14" spans="1:6">
      <c r="A14" s="10">
        <v>6</v>
      </c>
      <c r="B14" s="10" t="s">
        <v>443</v>
      </c>
      <c r="C14" s="43"/>
      <c r="D14" s="43"/>
      <c r="E14" s="43"/>
      <c r="F14" s="43"/>
    </row>
    <row r="15" spans="1:6">
      <c r="C15" s="43"/>
      <c r="D15" s="43"/>
      <c r="E15" s="43"/>
      <c r="F15" s="43"/>
    </row>
    <row r="16" spans="1:6">
      <c r="B16" s="12" t="s">
        <v>201</v>
      </c>
      <c r="C16" s="12"/>
      <c r="D16" s="12"/>
      <c r="E16" s="12"/>
      <c r="F16" s="12"/>
    </row>
    <row r="17" spans="1:6">
      <c r="A17" s="10">
        <v>7</v>
      </c>
      <c r="B17" s="10" t="s">
        <v>437</v>
      </c>
      <c r="C17" s="203"/>
      <c r="D17" s="203"/>
      <c r="E17" s="203"/>
      <c r="F17" s="203">
        <f>SUM(C17:E17)</f>
        <v>0</v>
      </c>
    </row>
    <row r="18" spans="1:6">
      <c r="A18" s="10">
        <v>8</v>
      </c>
      <c r="B18" s="10" t="s">
        <v>438</v>
      </c>
      <c r="C18" s="203">
        <v>0.56720438689238173</v>
      </c>
      <c r="D18" s="203">
        <v>0</v>
      </c>
      <c r="E18" s="203">
        <v>20.7</v>
      </c>
      <c r="F18" s="203">
        <f t="shared" ref="F18:F25" si="0">SUM(C18:E18)</f>
        <v>21.267204386892381</v>
      </c>
    </row>
    <row r="19" spans="1:6">
      <c r="A19" s="10">
        <v>9</v>
      </c>
      <c r="B19" s="10" t="s">
        <v>439</v>
      </c>
      <c r="C19" s="203">
        <v>1210.9642939400001</v>
      </c>
      <c r="D19" s="203">
        <v>23.98538233</v>
      </c>
      <c r="E19" s="203">
        <f>17.99823941+11.6</f>
        <v>29.598239409999998</v>
      </c>
      <c r="F19" s="203">
        <f t="shared" si="0"/>
        <v>1264.54791568</v>
      </c>
    </row>
    <row r="20" spans="1:6">
      <c r="A20" s="10">
        <v>10</v>
      </c>
      <c r="B20" s="10" t="s">
        <v>440</v>
      </c>
      <c r="C20" s="203">
        <v>106.56849328965808</v>
      </c>
      <c r="D20" s="203">
        <v>13.402452910000001</v>
      </c>
      <c r="E20" s="203">
        <v>2.5566199999999999E-3</v>
      </c>
      <c r="F20" s="203">
        <f t="shared" si="0"/>
        <v>119.97350281965807</v>
      </c>
    </row>
    <row r="21" spans="1:6">
      <c r="A21" s="10">
        <v>11</v>
      </c>
      <c r="B21" s="10" t="s">
        <v>441</v>
      </c>
      <c r="C21" s="203">
        <v>876.03602482177655</v>
      </c>
      <c r="D21" s="203">
        <v>0</v>
      </c>
      <c r="E21" s="203">
        <f>3.09529677289872+0.4</f>
        <v>3.4952967728987199</v>
      </c>
      <c r="F21" s="203">
        <f t="shared" si="0"/>
        <v>879.53132159467532</v>
      </c>
    </row>
    <row r="22" spans="1:6">
      <c r="A22" s="10">
        <v>12</v>
      </c>
      <c r="B22" s="10" t="s">
        <v>443</v>
      </c>
      <c r="C22" s="203">
        <v>657.00214961066695</v>
      </c>
      <c r="D22" s="203">
        <v>0.85618488004796001</v>
      </c>
      <c r="E22" s="203">
        <v>13.223518698059504</v>
      </c>
      <c r="F22" s="203">
        <f t="shared" si="0"/>
        <v>671.0818531887744</v>
      </c>
    </row>
    <row r="23" spans="1:6">
      <c r="A23" s="10">
        <v>23</v>
      </c>
      <c r="B23" s="10" t="s">
        <v>208</v>
      </c>
      <c r="C23" s="203">
        <f>SUM(C17:C22)</f>
        <v>2851.1381660489942</v>
      </c>
      <c r="D23" s="203">
        <f t="shared" ref="D23:E23" si="1">SUM(D17:D22)</f>
        <v>38.244020120047963</v>
      </c>
      <c r="E23" s="203">
        <f t="shared" si="1"/>
        <v>67.01961150095822</v>
      </c>
      <c r="F23" s="203">
        <f t="shared" si="0"/>
        <v>2956.4017976700002</v>
      </c>
    </row>
    <row r="24" spans="1:6">
      <c r="C24" s="203"/>
      <c r="D24" s="203"/>
      <c r="E24" s="203"/>
      <c r="F24" s="203"/>
    </row>
    <row r="25" spans="1:6">
      <c r="A25" s="10">
        <v>24</v>
      </c>
      <c r="B25" s="10" t="s">
        <v>209</v>
      </c>
      <c r="C25" s="203">
        <f>C23</f>
        <v>2851.1381660489942</v>
      </c>
      <c r="D25" s="203">
        <f t="shared" ref="D25:E25" si="2">D23</f>
        <v>38.244020120047963</v>
      </c>
      <c r="E25" s="203">
        <f t="shared" si="2"/>
        <v>67.01961150095822</v>
      </c>
      <c r="F25" s="203">
        <f t="shared" si="0"/>
        <v>2956.4017976700002</v>
      </c>
    </row>
    <row r="30" spans="1:6" ht="15" customHeight="1">
      <c r="B30" s="12"/>
      <c r="C30" s="302" t="s">
        <v>219</v>
      </c>
      <c r="D30" s="302"/>
      <c r="E30" s="302"/>
      <c r="F30" s="302"/>
    </row>
    <row r="31" spans="1:6">
      <c r="B31" s="13" t="s">
        <v>224</v>
      </c>
      <c r="C31" s="12" t="s">
        <v>1136</v>
      </c>
      <c r="D31" s="12" t="s">
        <v>1127</v>
      </c>
      <c r="E31" s="12" t="s">
        <v>1384</v>
      </c>
      <c r="F31" s="16" t="s">
        <v>209</v>
      </c>
    </row>
    <row r="32" spans="1:6">
      <c r="B32" s="13" t="s">
        <v>195</v>
      </c>
      <c r="C32" s="13"/>
      <c r="D32" s="13"/>
      <c r="E32" s="13"/>
      <c r="F32" s="13"/>
    </row>
    <row r="33" spans="1:6">
      <c r="A33" s="10">
        <v>1</v>
      </c>
      <c r="B33" s="10" t="s">
        <v>437</v>
      </c>
    </row>
    <row r="34" spans="1:6">
      <c r="A34" s="10">
        <v>2</v>
      </c>
      <c r="B34" s="10" t="s">
        <v>438</v>
      </c>
      <c r="C34" s="43"/>
      <c r="D34" s="43"/>
      <c r="E34" s="43"/>
      <c r="F34" s="43"/>
    </row>
    <row r="35" spans="1:6">
      <c r="A35" s="10">
        <v>3</v>
      </c>
      <c r="B35" s="10" t="s">
        <v>439</v>
      </c>
      <c r="C35" s="43"/>
      <c r="D35" s="43"/>
      <c r="E35" s="43"/>
      <c r="F35" s="43"/>
    </row>
    <row r="36" spans="1:6">
      <c r="A36" s="10">
        <v>4</v>
      </c>
      <c r="B36" s="10" t="s">
        <v>440</v>
      </c>
      <c r="C36" s="43"/>
      <c r="D36" s="43"/>
      <c r="E36" s="43"/>
      <c r="F36" s="43"/>
    </row>
    <row r="37" spans="1:6">
      <c r="A37" s="10">
        <v>5</v>
      </c>
      <c r="B37" s="10" t="s">
        <v>441</v>
      </c>
      <c r="C37" s="43"/>
      <c r="D37" s="43"/>
      <c r="E37" s="43"/>
      <c r="F37" s="43"/>
    </row>
    <row r="38" spans="1:6">
      <c r="A38" s="10">
        <v>6</v>
      </c>
      <c r="B38" s="10" t="s">
        <v>443</v>
      </c>
      <c r="C38" s="43"/>
      <c r="D38" s="43"/>
      <c r="E38" s="43"/>
      <c r="F38" s="43"/>
    </row>
    <row r="39" spans="1:6">
      <c r="C39" s="43"/>
      <c r="D39" s="43"/>
      <c r="E39" s="43"/>
      <c r="F39" s="43"/>
    </row>
    <row r="40" spans="1:6">
      <c r="B40" s="12" t="s">
        <v>201</v>
      </c>
      <c r="C40" s="12"/>
      <c r="D40" s="12"/>
      <c r="E40" s="12"/>
      <c r="F40" s="12"/>
    </row>
    <row r="41" spans="1:6">
      <c r="A41" s="10">
        <v>7</v>
      </c>
      <c r="B41" s="10" t="s">
        <v>437</v>
      </c>
      <c r="C41" s="203"/>
      <c r="D41" s="203"/>
      <c r="E41" s="203"/>
      <c r="F41" s="203"/>
    </row>
    <row r="42" spans="1:6">
      <c r="A42" s="10">
        <v>8</v>
      </c>
      <c r="B42" s="10" t="s">
        <v>438</v>
      </c>
      <c r="C42" s="203">
        <v>0</v>
      </c>
      <c r="D42" s="203">
        <v>0</v>
      </c>
      <c r="E42" s="203">
        <f>0+19.2+0.5</f>
        <v>19.7</v>
      </c>
      <c r="F42" s="203">
        <f t="shared" ref="F42:F47" si="3">SUM(C42:E42)</f>
        <v>19.7</v>
      </c>
    </row>
    <row r="43" spans="1:6">
      <c r="A43" s="10">
        <v>9</v>
      </c>
      <c r="B43" s="10" t="s">
        <v>439</v>
      </c>
      <c r="C43" s="203">
        <v>682.6</v>
      </c>
      <c r="D43" s="203">
        <v>0</v>
      </c>
      <c r="E43" s="203">
        <f>0+19.5</f>
        <v>19.5</v>
      </c>
      <c r="F43" s="203">
        <f t="shared" si="3"/>
        <v>702.1</v>
      </c>
    </row>
    <row r="44" spans="1:6">
      <c r="A44" s="10">
        <v>10</v>
      </c>
      <c r="B44" s="10" t="s">
        <v>440</v>
      </c>
      <c r="C44" s="203">
        <v>98.427328425997956</v>
      </c>
      <c r="D44" s="203">
        <v>14.770062339999999</v>
      </c>
      <c r="E44" s="203">
        <v>10.42585721</v>
      </c>
      <c r="F44" s="203">
        <f t="shared" si="3"/>
        <v>123.62324797599796</v>
      </c>
    </row>
    <row r="45" spans="1:6">
      <c r="A45" s="10">
        <v>11</v>
      </c>
      <c r="B45" s="10" t="s">
        <v>441</v>
      </c>
      <c r="C45" s="203">
        <v>615.55028105505357</v>
      </c>
      <c r="D45" s="203">
        <v>0</v>
      </c>
      <c r="E45" s="203">
        <v>3.108013848058</v>
      </c>
      <c r="F45" s="203">
        <f t="shared" si="3"/>
        <v>618.6582949031116</v>
      </c>
    </row>
    <row r="46" spans="1:6">
      <c r="A46" s="10">
        <v>12</v>
      </c>
      <c r="B46" s="10" t="s">
        <v>443</v>
      </c>
      <c r="C46" s="203">
        <v>159.63991663962577</v>
      </c>
      <c r="D46" s="203">
        <v>0.17478908083434</v>
      </c>
      <c r="E46" s="203">
        <v>3.3262074804320969</v>
      </c>
      <c r="F46" s="203">
        <f t="shared" si="3"/>
        <v>163.14091320089219</v>
      </c>
    </row>
    <row r="47" spans="1:6">
      <c r="A47" s="10">
        <v>23</v>
      </c>
      <c r="B47" s="10" t="s">
        <v>208</v>
      </c>
      <c r="C47" s="203">
        <f>SUM(C42:C46)</f>
        <v>1556.2175261206776</v>
      </c>
      <c r="D47" s="203">
        <f t="shared" ref="D47:E47" si="4">SUM(D42:D46)</f>
        <v>14.94485142083434</v>
      </c>
      <c r="E47" s="203">
        <f t="shared" si="4"/>
        <v>56.060078538490103</v>
      </c>
      <c r="F47" s="203">
        <f t="shared" si="3"/>
        <v>1627.2224560800021</v>
      </c>
    </row>
    <row r="48" spans="1:6">
      <c r="C48" s="203"/>
      <c r="D48" s="203"/>
      <c r="E48" s="203"/>
      <c r="F48" s="203"/>
    </row>
    <row r="49" spans="1:6">
      <c r="A49" s="10">
        <v>24</v>
      </c>
      <c r="B49" s="10" t="s">
        <v>209</v>
      </c>
      <c r="C49" s="203">
        <f>C47</f>
        <v>1556.2175261206776</v>
      </c>
      <c r="D49" s="203">
        <f t="shared" ref="D49:E49" si="5">D47</f>
        <v>14.94485142083434</v>
      </c>
      <c r="E49" s="203">
        <f t="shared" si="5"/>
        <v>56.060078538490103</v>
      </c>
      <c r="F49" s="203">
        <f t="shared" ref="F49" si="6">SUM(C49:E49)</f>
        <v>1627.2224560800021</v>
      </c>
    </row>
    <row r="50" spans="1:6">
      <c r="C50" s="43"/>
      <c r="D50" s="43"/>
      <c r="E50" s="43"/>
      <c r="F50" s="43"/>
    </row>
  </sheetData>
  <mergeCells count="2">
    <mergeCell ref="C6:F6"/>
    <mergeCell ref="C30:F3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topLeftCell="A13" zoomScale="85" zoomScaleNormal="85" workbookViewId="0"/>
  </sheetViews>
  <sheetFormatPr defaultColWidth="9.109375" defaultRowHeight="13.2"/>
  <cols>
    <col min="1" max="1" width="54.109375" style="25" customWidth="1"/>
    <col min="2" max="3" width="9.5546875" style="25" bestFit="1" customWidth="1"/>
    <col min="4" max="4" width="10.6640625" style="25" bestFit="1" customWidth="1"/>
    <col min="5" max="5" width="10.5546875" style="25" bestFit="1" customWidth="1"/>
    <col min="6" max="6" width="9.5546875" style="25" bestFit="1" customWidth="1"/>
    <col min="7" max="7" width="9.6640625" style="25" bestFit="1" customWidth="1"/>
    <col min="8" max="8" width="9.5546875" style="25" bestFit="1" customWidth="1"/>
    <col min="9" max="9" width="11.5546875" style="25" bestFit="1" customWidth="1"/>
    <col min="10" max="11" width="9.5546875" style="25" bestFit="1" customWidth="1"/>
    <col min="12" max="12" width="11.5546875" style="25" bestFit="1" customWidth="1"/>
    <col min="13" max="16" width="9.5546875" style="25" bestFit="1" customWidth="1"/>
    <col min="17" max="17" width="10.6640625" style="25" bestFit="1" customWidth="1"/>
    <col min="18" max="19" width="9.5546875" style="25" bestFit="1" customWidth="1"/>
    <col min="20" max="20" width="10.88671875" style="25" bestFit="1" customWidth="1"/>
    <col min="21" max="21" width="11.6640625" style="25" bestFit="1" customWidth="1"/>
    <col min="22" max="16384" width="9.109375" style="25"/>
  </cols>
  <sheetData>
    <row r="1" spans="1:21">
      <c r="A1" s="29" t="s">
        <v>227</v>
      </c>
    </row>
    <row r="5" spans="1:21" ht="292.8">
      <c r="A5" s="26">
        <v>2019</v>
      </c>
      <c r="B5" s="27" t="s">
        <v>1385</v>
      </c>
      <c r="C5" s="27" t="s">
        <v>1386</v>
      </c>
      <c r="D5" s="27" t="s">
        <v>1387</v>
      </c>
      <c r="E5" s="27" t="s">
        <v>1388</v>
      </c>
      <c r="F5" s="27" t="s">
        <v>1389</v>
      </c>
      <c r="G5" s="27" t="s">
        <v>1390</v>
      </c>
      <c r="H5" s="27" t="s">
        <v>1391</v>
      </c>
      <c r="I5" s="27" t="s">
        <v>1392</v>
      </c>
      <c r="J5" s="27" t="s">
        <v>1393</v>
      </c>
      <c r="K5" s="27" t="s">
        <v>1394</v>
      </c>
      <c r="L5" s="27" t="s">
        <v>1395</v>
      </c>
      <c r="M5" s="27" t="s">
        <v>1396</v>
      </c>
      <c r="N5" s="27" t="s">
        <v>1397</v>
      </c>
      <c r="O5" s="27" t="s">
        <v>1398</v>
      </c>
      <c r="P5" s="27" t="s">
        <v>1399</v>
      </c>
      <c r="Q5" s="27" t="s">
        <v>1400</v>
      </c>
      <c r="R5" s="27" t="s">
        <v>1401</v>
      </c>
      <c r="S5" s="27" t="s">
        <v>1402</v>
      </c>
      <c r="T5" s="27" t="s">
        <v>1403</v>
      </c>
      <c r="U5" s="27" t="s">
        <v>209</v>
      </c>
    </row>
    <row r="6" spans="1:21">
      <c r="A6" s="28" t="s">
        <v>195</v>
      </c>
      <c r="B6" s="28"/>
      <c r="C6" s="28"/>
      <c r="D6" s="28"/>
      <c r="E6" s="28"/>
      <c r="F6" s="28"/>
      <c r="G6" s="28"/>
      <c r="H6" s="28"/>
      <c r="I6" s="28"/>
      <c r="J6" s="28"/>
      <c r="K6" s="28"/>
      <c r="L6" s="28"/>
      <c r="M6" s="28"/>
      <c r="N6" s="28"/>
      <c r="O6" s="28"/>
      <c r="P6" s="28"/>
      <c r="Q6" s="28"/>
      <c r="R6" s="28"/>
      <c r="S6" s="28"/>
      <c r="T6" s="28"/>
      <c r="U6" s="28"/>
    </row>
    <row r="7" spans="1:21">
      <c r="A7" s="25" t="s">
        <v>437</v>
      </c>
    </row>
    <row r="8" spans="1:21">
      <c r="A8" s="25" t="s">
        <v>438</v>
      </c>
      <c r="D8" s="48"/>
      <c r="E8" s="48"/>
      <c r="F8" s="48"/>
      <c r="G8" s="48"/>
      <c r="H8" s="48"/>
      <c r="I8" s="48"/>
      <c r="J8" s="48"/>
      <c r="K8" s="48"/>
      <c r="L8" s="48"/>
      <c r="M8" s="48"/>
      <c r="N8" s="48"/>
      <c r="O8" s="48"/>
      <c r="P8" s="48"/>
      <c r="Q8" s="48"/>
      <c r="R8" s="48"/>
      <c r="S8" s="48"/>
      <c r="T8" s="48"/>
      <c r="U8" s="48">
        <f>SUM(B8:T8)</f>
        <v>0</v>
      </c>
    </row>
    <row r="9" spans="1:21">
      <c r="A9" s="25" t="s">
        <v>439</v>
      </c>
      <c r="B9" s="48"/>
      <c r="C9" s="48"/>
      <c r="D9" s="48"/>
      <c r="E9" s="48"/>
      <c r="F9" s="48"/>
      <c r="G9" s="48"/>
      <c r="H9" s="48"/>
      <c r="I9" s="48"/>
      <c r="J9" s="48"/>
      <c r="K9" s="48"/>
      <c r="L9" s="48"/>
      <c r="M9" s="48"/>
      <c r="N9" s="48"/>
      <c r="O9" s="48"/>
      <c r="P9" s="48"/>
      <c r="Q9" s="48"/>
      <c r="R9" s="48"/>
      <c r="S9" s="48"/>
      <c r="T9" s="48"/>
      <c r="U9" s="48">
        <f t="shared" ref="U9:U13" si="0">SUM(B9:T9)</f>
        <v>0</v>
      </c>
    </row>
    <row r="10" spans="1:21">
      <c r="A10" s="25" t="s">
        <v>440</v>
      </c>
      <c r="B10" s="48"/>
      <c r="C10" s="48"/>
      <c r="D10" s="48"/>
      <c r="E10" s="48"/>
      <c r="F10" s="48"/>
      <c r="G10" s="48"/>
      <c r="H10" s="48"/>
      <c r="I10" s="48"/>
      <c r="J10" s="48"/>
      <c r="K10" s="48"/>
      <c r="L10" s="48"/>
      <c r="M10" s="48"/>
      <c r="N10" s="48"/>
      <c r="O10" s="48"/>
      <c r="P10" s="48"/>
      <c r="Q10" s="48"/>
      <c r="R10" s="48"/>
      <c r="S10" s="48"/>
      <c r="T10" s="48"/>
      <c r="U10" s="48">
        <f t="shared" si="0"/>
        <v>0</v>
      </c>
    </row>
    <row r="11" spans="1:21">
      <c r="A11" s="25" t="s">
        <v>441</v>
      </c>
      <c r="B11" s="48"/>
      <c r="C11" s="48"/>
      <c r="D11" s="48"/>
      <c r="E11" s="48"/>
      <c r="F11" s="48"/>
      <c r="G11" s="48"/>
      <c r="H11" s="48"/>
      <c r="I11" s="48"/>
      <c r="J11" s="48"/>
      <c r="K11" s="48"/>
      <c r="L11" s="48"/>
      <c r="M11" s="48"/>
      <c r="N11" s="48"/>
      <c r="O11" s="48"/>
      <c r="P11" s="48"/>
      <c r="Q11" s="48"/>
      <c r="R11" s="48"/>
      <c r="S11" s="48"/>
      <c r="T11" s="48"/>
      <c r="U11" s="48">
        <f t="shared" si="0"/>
        <v>0</v>
      </c>
    </row>
    <row r="12" spans="1:21">
      <c r="A12" s="25" t="s">
        <v>443</v>
      </c>
      <c r="B12" s="48"/>
      <c r="C12" s="48"/>
      <c r="D12" s="48"/>
      <c r="E12" s="48"/>
      <c r="F12" s="48"/>
      <c r="G12" s="48"/>
      <c r="H12" s="48"/>
      <c r="I12" s="48"/>
      <c r="J12" s="48"/>
      <c r="K12" s="48"/>
      <c r="L12" s="48"/>
      <c r="M12" s="48"/>
      <c r="N12" s="48"/>
      <c r="O12" s="48"/>
      <c r="P12" s="48"/>
      <c r="Q12" s="48"/>
      <c r="R12" s="48"/>
      <c r="S12" s="48"/>
      <c r="T12" s="48"/>
      <c r="U12" s="48">
        <f t="shared" si="0"/>
        <v>0</v>
      </c>
    </row>
    <row r="13" spans="1:21">
      <c r="A13" s="25" t="s">
        <v>200</v>
      </c>
      <c r="B13" s="48">
        <f>SUM(B7:B12)</f>
        <v>0</v>
      </c>
      <c r="C13" s="48">
        <f t="shared" ref="C13:T13" si="1">SUM(C7:C12)</f>
        <v>0</v>
      </c>
      <c r="D13" s="48">
        <f t="shared" si="1"/>
        <v>0</v>
      </c>
      <c r="E13" s="48">
        <f t="shared" si="1"/>
        <v>0</v>
      </c>
      <c r="F13" s="48">
        <f t="shared" si="1"/>
        <v>0</v>
      </c>
      <c r="G13" s="48">
        <f t="shared" si="1"/>
        <v>0</v>
      </c>
      <c r="H13" s="48">
        <f t="shared" si="1"/>
        <v>0</v>
      </c>
      <c r="I13" s="48">
        <f t="shared" si="1"/>
        <v>0</v>
      </c>
      <c r="J13" s="48">
        <f t="shared" si="1"/>
        <v>0</v>
      </c>
      <c r="K13" s="48">
        <f t="shared" si="1"/>
        <v>0</v>
      </c>
      <c r="L13" s="48">
        <f t="shared" si="1"/>
        <v>0</v>
      </c>
      <c r="M13" s="48">
        <f t="shared" si="1"/>
        <v>0</v>
      </c>
      <c r="N13" s="48">
        <f t="shared" si="1"/>
        <v>0</v>
      </c>
      <c r="O13" s="48">
        <f t="shared" si="1"/>
        <v>0</v>
      </c>
      <c r="P13" s="48">
        <f t="shared" si="1"/>
        <v>0</v>
      </c>
      <c r="Q13" s="48">
        <f t="shared" si="1"/>
        <v>0</v>
      </c>
      <c r="R13" s="48">
        <f t="shared" si="1"/>
        <v>0</v>
      </c>
      <c r="S13" s="48">
        <f t="shared" si="1"/>
        <v>0</v>
      </c>
      <c r="T13" s="48">
        <f t="shared" si="1"/>
        <v>0</v>
      </c>
      <c r="U13" s="48">
        <f t="shared" si="0"/>
        <v>0</v>
      </c>
    </row>
    <row r="14" spans="1:21">
      <c r="B14" s="48"/>
      <c r="C14" s="48"/>
      <c r="D14" s="48"/>
      <c r="E14" s="48"/>
      <c r="F14" s="48"/>
      <c r="G14" s="48"/>
      <c r="H14" s="48"/>
      <c r="I14" s="48"/>
      <c r="J14" s="48"/>
      <c r="K14" s="48"/>
      <c r="L14" s="48"/>
      <c r="M14" s="48"/>
      <c r="N14" s="48"/>
      <c r="O14" s="48"/>
      <c r="P14" s="48"/>
      <c r="Q14" s="48"/>
      <c r="R14" s="48"/>
      <c r="S14" s="48"/>
      <c r="T14" s="48"/>
      <c r="U14" s="48"/>
    </row>
    <row r="15" spans="1:21">
      <c r="A15" s="25" t="s">
        <v>201</v>
      </c>
      <c r="B15" s="48"/>
      <c r="C15" s="48"/>
      <c r="D15" s="48"/>
      <c r="E15" s="48"/>
      <c r="F15" s="48"/>
      <c r="G15" s="48"/>
      <c r="H15" s="48"/>
      <c r="I15" s="48"/>
      <c r="J15" s="48"/>
      <c r="K15" s="48"/>
      <c r="L15" s="48"/>
      <c r="M15" s="48"/>
      <c r="N15" s="48"/>
      <c r="O15" s="48"/>
      <c r="P15" s="48"/>
      <c r="Q15" s="48"/>
      <c r="R15" s="48"/>
      <c r="S15" s="48"/>
      <c r="T15" s="48"/>
      <c r="U15" s="48"/>
    </row>
    <row r="16" spans="1:21">
      <c r="A16" s="25" t="s">
        <v>437</v>
      </c>
      <c r="B16" s="48"/>
      <c r="C16" s="48"/>
      <c r="D16" s="48"/>
      <c r="E16" s="48"/>
      <c r="F16" s="48"/>
      <c r="G16" s="48"/>
      <c r="H16" s="48"/>
      <c r="I16" s="48"/>
      <c r="J16" s="48"/>
      <c r="K16" s="48"/>
      <c r="L16" s="48"/>
      <c r="M16" s="48"/>
      <c r="N16" s="48"/>
      <c r="O16" s="48"/>
      <c r="P16" s="48"/>
      <c r="Q16" s="48"/>
      <c r="R16" s="48"/>
      <c r="S16" s="48"/>
      <c r="T16" s="48"/>
      <c r="U16" s="48"/>
    </row>
    <row r="17" spans="1:21">
      <c r="A17" s="25" t="s">
        <v>438</v>
      </c>
      <c r="B17" s="48"/>
      <c r="C17" s="48"/>
      <c r="D17" s="48"/>
      <c r="E17" s="48"/>
      <c r="F17" s="48"/>
      <c r="G17" s="48"/>
      <c r="H17" s="48"/>
      <c r="I17" s="48"/>
      <c r="J17" s="48"/>
      <c r="K17" s="48"/>
      <c r="L17" s="48"/>
      <c r="M17" s="48"/>
      <c r="N17" s="48"/>
      <c r="O17" s="48"/>
      <c r="P17" s="48"/>
      <c r="Q17" s="48"/>
      <c r="R17" s="48"/>
      <c r="S17" s="48"/>
      <c r="T17" s="48"/>
      <c r="U17" s="48">
        <f t="shared" ref="U17:U24" si="2">SUM(B17:T17)</f>
        <v>0</v>
      </c>
    </row>
    <row r="18" spans="1:21">
      <c r="A18" s="25" t="s">
        <v>439</v>
      </c>
      <c r="B18" s="48"/>
      <c r="C18" s="48"/>
      <c r="D18" s="48"/>
      <c r="E18" s="48"/>
      <c r="F18" s="48"/>
      <c r="G18" s="48"/>
      <c r="H18" s="48"/>
      <c r="I18" s="48"/>
      <c r="J18" s="48"/>
      <c r="K18" s="48"/>
      <c r="L18" s="204">
        <v>72.522539690000002</v>
      </c>
      <c r="M18" s="48"/>
      <c r="N18" s="48"/>
      <c r="O18" s="48"/>
      <c r="P18" s="48"/>
      <c r="Q18" s="48"/>
      <c r="R18" s="48"/>
      <c r="S18" s="48"/>
      <c r="T18" s="48"/>
      <c r="U18" s="48">
        <f t="shared" si="2"/>
        <v>72.522539690000002</v>
      </c>
    </row>
    <row r="19" spans="1:21">
      <c r="A19" s="25" t="s">
        <v>440</v>
      </c>
      <c r="B19" s="48"/>
      <c r="C19" s="48"/>
      <c r="D19" s="48"/>
      <c r="E19" s="48"/>
      <c r="F19" s="48"/>
      <c r="G19" s="48"/>
      <c r="H19" s="48"/>
      <c r="I19" s="48"/>
      <c r="J19" s="48"/>
      <c r="K19" s="48"/>
      <c r="L19" s="48"/>
      <c r="M19" s="48"/>
      <c r="N19" s="48"/>
      <c r="O19" s="48"/>
      <c r="P19" s="48"/>
      <c r="Q19" s="48"/>
      <c r="R19" s="48"/>
      <c r="S19" s="48"/>
      <c r="T19" s="48"/>
      <c r="U19" s="48">
        <f t="shared" si="2"/>
        <v>0</v>
      </c>
    </row>
    <row r="20" spans="1:21">
      <c r="A20" s="25" t="s">
        <v>441</v>
      </c>
      <c r="B20" s="204">
        <v>59.657475982988515</v>
      </c>
      <c r="C20" s="204">
        <v>1.2677515414036391</v>
      </c>
      <c r="D20" s="204">
        <v>114.10440002541267</v>
      </c>
      <c r="E20" s="204">
        <v>15.071785912726421</v>
      </c>
      <c r="F20" s="204">
        <v>0.79062360540102639</v>
      </c>
      <c r="G20" s="204">
        <v>38.950623770579838</v>
      </c>
      <c r="H20" s="204">
        <v>80.766737242176376</v>
      </c>
      <c r="I20" s="204">
        <v>15.336609129822264</v>
      </c>
      <c r="J20" s="204">
        <v>14.079677466708771</v>
      </c>
      <c r="K20" s="204">
        <v>7.0179607779276871</v>
      </c>
      <c r="M20" s="204">
        <v>353.40461338537352</v>
      </c>
      <c r="N20" s="204">
        <v>47.368141314329669</v>
      </c>
      <c r="O20" s="204">
        <v>67.063727620270228</v>
      </c>
      <c r="P20" s="204">
        <v>4.5384000000000006E-3</v>
      </c>
      <c r="Q20" s="204">
        <v>1.966233307434671</v>
      </c>
      <c r="R20" s="204">
        <v>16.334542612562164</v>
      </c>
      <c r="S20" s="204">
        <v>42.184688085723735</v>
      </c>
      <c r="T20" s="204">
        <v>7.2898490038365944</v>
      </c>
      <c r="U20" s="205">
        <f t="shared" si="2"/>
        <v>882.65997918467781</v>
      </c>
    </row>
    <row r="21" spans="1:21">
      <c r="A21" s="25" t="s">
        <v>443</v>
      </c>
      <c r="B21" s="204"/>
      <c r="C21" s="204"/>
      <c r="D21" s="204"/>
      <c r="E21" s="204"/>
      <c r="F21" s="204"/>
      <c r="G21" s="204"/>
      <c r="H21" s="204"/>
      <c r="I21" s="204"/>
      <c r="J21" s="204"/>
      <c r="K21" s="204"/>
      <c r="L21" s="204"/>
      <c r="M21" s="204"/>
      <c r="N21" s="204"/>
      <c r="O21" s="204"/>
      <c r="P21" s="204"/>
      <c r="Q21" s="204"/>
      <c r="R21" s="204"/>
      <c r="S21" s="204"/>
      <c r="T21" s="204"/>
      <c r="U21" s="205">
        <f t="shared" si="2"/>
        <v>0</v>
      </c>
    </row>
    <row r="22" spans="1:21">
      <c r="A22" s="25" t="s">
        <v>226</v>
      </c>
      <c r="B22" s="204">
        <f>SUM(B16:B21)</f>
        <v>59.657475982988515</v>
      </c>
      <c r="C22" s="204">
        <f t="shared" ref="C22:T22" si="3">SUM(C16:C21)</f>
        <v>1.2677515414036391</v>
      </c>
      <c r="D22" s="204">
        <f t="shared" si="3"/>
        <v>114.10440002541267</v>
      </c>
      <c r="E22" s="204">
        <f t="shared" si="3"/>
        <v>15.071785912726421</v>
      </c>
      <c r="F22" s="204">
        <f t="shared" si="3"/>
        <v>0.79062360540102639</v>
      </c>
      <c r="G22" s="204">
        <f t="shared" si="3"/>
        <v>38.950623770579838</v>
      </c>
      <c r="H22" s="204">
        <f t="shared" si="3"/>
        <v>80.766737242176376</v>
      </c>
      <c r="I22" s="204">
        <f t="shared" si="3"/>
        <v>15.336609129822264</v>
      </c>
      <c r="J22" s="204">
        <f t="shared" si="3"/>
        <v>14.079677466708771</v>
      </c>
      <c r="K22" s="204">
        <f t="shared" si="3"/>
        <v>7.0179607779276871</v>
      </c>
      <c r="L22" s="204">
        <f t="shared" si="3"/>
        <v>72.522539690000002</v>
      </c>
      <c r="M22" s="204">
        <f t="shared" si="3"/>
        <v>353.40461338537352</v>
      </c>
      <c r="N22" s="204">
        <f t="shared" si="3"/>
        <v>47.368141314329669</v>
      </c>
      <c r="O22" s="204">
        <f t="shared" si="3"/>
        <v>67.063727620270228</v>
      </c>
      <c r="P22" s="204">
        <f t="shared" si="3"/>
        <v>4.5384000000000006E-3</v>
      </c>
      <c r="Q22" s="204">
        <f t="shared" si="3"/>
        <v>1.966233307434671</v>
      </c>
      <c r="R22" s="204">
        <f t="shared" si="3"/>
        <v>16.334542612562164</v>
      </c>
      <c r="S22" s="204">
        <f t="shared" si="3"/>
        <v>42.184688085723735</v>
      </c>
      <c r="T22" s="204">
        <f t="shared" si="3"/>
        <v>7.2898490038365944</v>
      </c>
      <c r="U22" s="205">
        <f t="shared" si="2"/>
        <v>955.18251887467784</v>
      </c>
    </row>
    <row r="23" spans="1:21">
      <c r="B23" s="48"/>
      <c r="C23" s="48"/>
      <c r="D23" s="48"/>
      <c r="E23" s="48"/>
      <c r="F23" s="48"/>
      <c r="G23" s="48"/>
      <c r="H23" s="48"/>
      <c r="I23" s="48"/>
      <c r="J23" s="48"/>
      <c r="K23" s="48"/>
      <c r="L23" s="48"/>
      <c r="M23" s="48"/>
      <c r="N23" s="48"/>
      <c r="O23" s="48"/>
      <c r="P23" s="48"/>
      <c r="Q23" s="48"/>
      <c r="R23" s="48"/>
      <c r="S23" s="48"/>
      <c r="T23" s="48"/>
      <c r="U23" s="205">
        <f t="shared" si="2"/>
        <v>0</v>
      </c>
    </row>
    <row r="24" spans="1:21">
      <c r="A24" s="25" t="s">
        <v>209</v>
      </c>
      <c r="B24" s="204">
        <f>B22</f>
        <v>59.657475982988515</v>
      </c>
      <c r="C24" s="204">
        <f t="shared" ref="C24:T24" si="4">C22</f>
        <v>1.2677515414036391</v>
      </c>
      <c r="D24" s="204">
        <f t="shared" si="4"/>
        <v>114.10440002541267</v>
      </c>
      <c r="E24" s="204">
        <f t="shared" si="4"/>
        <v>15.071785912726421</v>
      </c>
      <c r="F24" s="204">
        <f t="shared" si="4"/>
        <v>0.79062360540102639</v>
      </c>
      <c r="G24" s="204">
        <f t="shared" si="4"/>
        <v>38.950623770579838</v>
      </c>
      <c r="H24" s="204">
        <f t="shared" si="4"/>
        <v>80.766737242176376</v>
      </c>
      <c r="I24" s="204">
        <f t="shared" si="4"/>
        <v>15.336609129822264</v>
      </c>
      <c r="J24" s="204">
        <f t="shared" si="4"/>
        <v>14.079677466708771</v>
      </c>
      <c r="K24" s="204">
        <f t="shared" si="4"/>
        <v>7.0179607779276871</v>
      </c>
      <c r="L24" s="204">
        <f t="shared" si="4"/>
        <v>72.522539690000002</v>
      </c>
      <c r="M24" s="204">
        <f t="shared" si="4"/>
        <v>353.40461338537352</v>
      </c>
      <c r="N24" s="204">
        <f t="shared" si="4"/>
        <v>47.368141314329669</v>
      </c>
      <c r="O24" s="204">
        <f t="shared" si="4"/>
        <v>67.063727620270228</v>
      </c>
      <c r="P24" s="204">
        <f t="shared" si="4"/>
        <v>4.5384000000000006E-3</v>
      </c>
      <c r="Q24" s="204">
        <f t="shared" si="4"/>
        <v>1.966233307434671</v>
      </c>
      <c r="R24" s="204">
        <f t="shared" si="4"/>
        <v>16.334542612562164</v>
      </c>
      <c r="S24" s="204">
        <f t="shared" si="4"/>
        <v>42.184688085723735</v>
      </c>
      <c r="T24" s="204">
        <f t="shared" si="4"/>
        <v>7.2898490038365944</v>
      </c>
      <c r="U24" s="205">
        <f t="shared" si="2"/>
        <v>955.18251887467784</v>
      </c>
    </row>
    <row r="27" spans="1:21" ht="292.8">
      <c r="A27" s="26">
        <v>2018</v>
      </c>
      <c r="B27" s="27" t="s">
        <v>1385</v>
      </c>
      <c r="C27" s="27" t="s">
        <v>1386</v>
      </c>
      <c r="D27" s="27" t="s">
        <v>1387</v>
      </c>
      <c r="E27" s="27" t="s">
        <v>1388</v>
      </c>
      <c r="F27" s="27" t="s">
        <v>1389</v>
      </c>
      <c r="G27" s="27" t="s">
        <v>1390</v>
      </c>
      <c r="H27" s="27" t="s">
        <v>1391</v>
      </c>
      <c r="I27" s="27" t="s">
        <v>1392</v>
      </c>
      <c r="J27" s="27" t="s">
        <v>1393</v>
      </c>
      <c r="K27" s="27" t="s">
        <v>1394</v>
      </c>
      <c r="L27" s="27" t="s">
        <v>1395</v>
      </c>
      <c r="M27" s="27" t="s">
        <v>1396</v>
      </c>
      <c r="N27" s="27" t="s">
        <v>1397</v>
      </c>
      <c r="O27" s="27" t="s">
        <v>1398</v>
      </c>
      <c r="P27" s="27" t="s">
        <v>1399</v>
      </c>
      <c r="Q27" s="27" t="s">
        <v>1400</v>
      </c>
      <c r="R27" s="27" t="s">
        <v>1401</v>
      </c>
      <c r="S27" s="27" t="s">
        <v>1402</v>
      </c>
      <c r="T27" s="27" t="s">
        <v>1403</v>
      </c>
      <c r="U27" s="27" t="s">
        <v>209</v>
      </c>
    </row>
    <row r="28" spans="1:21">
      <c r="A28" s="28" t="s">
        <v>195</v>
      </c>
      <c r="B28" s="28"/>
      <c r="C28" s="28"/>
      <c r="D28" s="28"/>
      <c r="E28" s="28"/>
      <c r="F28" s="28"/>
      <c r="G28" s="28"/>
      <c r="H28" s="28"/>
      <c r="I28" s="28"/>
      <c r="J28" s="28"/>
      <c r="K28" s="28"/>
      <c r="L28" s="28"/>
      <c r="M28" s="28"/>
      <c r="N28" s="28"/>
      <c r="O28" s="28"/>
      <c r="P28" s="28"/>
      <c r="Q28" s="28"/>
      <c r="R28" s="28"/>
      <c r="S28" s="28"/>
      <c r="T28" s="28"/>
      <c r="U28" s="28"/>
    </row>
    <row r="29" spans="1:21">
      <c r="A29" s="25" t="s">
        <v>437</v>
      </c>
    </row>
    <row r="30" spans="1:21">
      <c r="A30" s="25" t="s">
        <v>438</v>
      </c>
      <c r="D30" s="48"/>
      <c r="E30" s="48"/>
      <c r="F30" s="48"/>
      <c r="G30" s="48"/>
      <c r="H30" s="48"/>
      <c r="I30" s="48"/>
      <c r="J30" s="48"/>
      <c r="K30" s="48"/>
      <c r="L30" s="48"/>
      <c r="M30" s="48"/>
      <c r="N30" s="48"/>
      <c r="O30" s="48"/>
      <c r="P30" s="48"/>
      <c r="Q30" s="48"/>
      <c r="R30" s="48"/>
      <c r="S30" s="48"/>
      <c r="T30" s="48"/>
      <c r="U30" s="48">
        <v>0</v>
      </c>
    </row>
    <row r="31" spans="1:21">
      <c r="A31" s="25" t="s">
        <v>439</v>
      </c>
      <c r="B31" s="48"/>
      <c r="C31" s="48"/>
      <c r="D31" s="48"/>
      <c r="E31" s="48"/>
      <c r="F31" s="48"/>
      <c r="G31" s="48"/>
      <c r="H31" s="48"/>
      <c r="I31" s="48"/>
      <c r="J31" s="48"/>
      <c r="K31" s="48"/>
      <c r="L31" s="48"/>
      <c r="M31" s="48"/>
      <c r="N31" s="48"/>
      <c r="O31" s="48"/>
      <c r="P31" s="48"/>
      <c r="Q31" s="48"/>
      <c r="R31" s="48"/>
      <c r="S31" s="48"/>
      <c r="T31" s="48"/>
      <c r="U31" s="48">
        <v>0</v>
      </c>
    </row>
    <row r="32" spans="1:21">
      <c r="A32" s="25" t="s">
        <v>440</v>
      </c>
      <c r="B32" s="48"/>
      <c r="C32" s="48"/>
      <c r="D32" s="48"/>
      <c r="E32" s="48"/>
      <c r="F32" s="48"/>
      <c r="G32" s="48"/>
      <c r="H32" s="48"/>
      <c r="I32" s="48"/>
      <c r="J32" s="48"/>
      <c r="K32" s="48"/>
      <c r="L32" s="48"/>
      <c r="M32" s="48"/>
      <c r="N32" s="48"/>
      <c r="O32" s="48"/>
      <c r="P32" s="48"/>
      <c r="Q32" s="48"/>
      <c r="R32" s="48"/>
      <c r="S32" s="48"/>
      <c r="T32" s="48"/>
      <c r="U32" s="48">
        <v>0</v>
      </c>
    </row>
    <row r="33" spans="1:21">
      <c r="A33" s="25" t="s">
        <v>441</v>
      </c>
      <c r="B33" s="48"/>
      <c r="C33" s="48"/>
      <c r="D33" s="48"/>
      <c r="E33" s="48"/>
      <c r="F33" s="48"/>
      <c r="G33" s="48"/>
      <c r="H33" s="48"/>
      <c r="I33" s="48"/>
      <c r="J33" s="48"/>
      <c r="K33" s="48"/>
      <c r="L33" s="48"/>
      <c r="M33" s="48"/>
      <c r="N33" s="48"/>
      <c r="O33" s="48"/>
      <c r="P33" s="48"/>
      <c r="Q33" s="48"/>
      <c r="R33" s="48"/>
      <c r="S33" s="48"/>
      <c r="T33" s="48"/>
      <c r="U33" s="48">
        <v>0</v>
      </c>
    </row>
    <row r="34" spans="1:21">
      <c r="A34" s="25" t="s">
        <v>443</v>
      </c>
      <c r="B34" s="48"/>
      <c r="C34" s="48"/>
      <c r="D34" s="48"/>
      <c r="E34" s="48"/>
      <c r="F34" s="48"/>
      <c r="G34" s="48"/>
      <c r="H34" s="48"/>
      <c r="I34" s="48"/>
      <c r="J34" s="48"/>
      <c r="K34" s="48"/>
      <c r="L34" s="48"/>
      <c r="M34" s="48"/>
      <c r="N34" s="48"/>
      <c r="O34" s="48"/>
      <c r="P34" s="48"/>
      <c r="Q34" s="48"/>
      <c r="R34" s="48"/>
      <c r="S34" s="48"/>
      <c r="T34" s="48"/>
      <c r="U34" s="48">
        <v>0</v>
      </c>
    </row>
    <row r="35" spans="1:21">
      <c r="A35" s="25" t="s">
        <v>200</v>
      </c>
      <c r="B35" s="48">
        <v>0</v>
      </c>
      <c r="C35" s="48">
        <v>0</v>
      </c>
      <c r="D35" s="48">
        <v>0</v>
      </c>
      <c r="E35" s="48">
        <v>0</v>
      </c>
      <c r="F35" s="48">
        <v>0</v>
      </c>
      <c r="G35" s="48">
        <v>0</v>
      </c>
      <c r="H35" s="48">
        <v>0</v>
      </c>
      <c r="I35" s="48">
        <v>0</v>
      </c>
      <c r="J35" s="48">
        <v>0</v>
      </c>
      <c r="K35" s="48">
        <v>0</v>
      </c>
      <c r="L35" s="48">
        <v>0</v>
      </c>
      <c r="M35" s="48">
        <v>0</v>
      </c>
      <c r="N35" s="48">
        <v>0</v>
      </c>
      <c r="O35" s="48">
        <v>0</v>
      </c>
      <c r="P35" s="48">
        <v>0</v>
      </c>
      <c r="Q35" s="48">
        <v>0</v>
      </c>
      <c r="R35" s="48">
        <v>0</v>
      </c>
      <c r="S35" s="48">
        <v>0</v>
      </c>
      <c r="T35" s="48">
        <v>0</v>
      </c>
      <c r="U35" s="48">
        <v>0</v>
      </c>
    </row>
    <row r="36" spans="1:21">
      <c r="B36" s="48"/>
      <c r="C36" s="48"/>
      <c r="D36" s="48"/>
      <c r="E36" s="48"/>
      <c r="F36" s="48"/>
      <c r="G36" s="48"/>
      <c r="H36" s="48"/>
      <c r="I36" s="48"/>
      <c r="J36" s="48"/>
      <c r="K36" s="48"/>
      <c r="L36" s="48"/>
      <c r="M36" s="48"/>
      <c r="N36" s="48"/>
      <c r="O36" s="48"/>
      <c r="P36" s="48"/>
      <c r="Q36" s="48"/>
      <c r="R36" s="48"/>
      <c r="S36" s="48"/>
      <c r="T36" s="48"/>
      <c r="U36" s="48"/>
    </row>
    <row r="37" spans="1:21">
      <c r="A37" s="25" t="s">
        <v>201</v>
      </c>
      <c r="B37" s="48"/>
      <c r="C37" s="48"/>
      <c r="D37" s="48"/>
      <c r="E37" s="48"/>
      <c r="F37" s="48"/>
      <c r="G37" s="48"/>
      <c r="H37" s="48"/>
      <c r="I37" s="48"/>
      <c r="J37" s="48"/>
      <c r="K37" s="48"/>
      <c r="L37" s="48"/>
      <c r="M37" s="48"/>
      <c r="N37" s="48"/>
      <c r="O37" s="48"/>
      <c r="P37" s="48"/>
      <c r="Q37" s="48"/>
      <c r="R37" s="48"/>
      <c r="S37" s="48"/>
      <c r="T37" s="48"/>
      <c r="U37" s="48"/>
    </row>
    <row r="38" spans="1:21">
      <c r="A38" s="25" t="s">
        <v>437</v>
      </c>
      <c r="B38" s="48"/>
      <c r="C38" s="48"/>
      <c r="D38" s="48"/>
      <c r="E38" s="48"/>
      <c r="F38" s="48"/>
      <c r="G38" s="48"/>
      <c r="H38" s="48"/>
      <c r="I38" s="48"/>
      <c r="J38" s="48"/>
      <c r="K38" s="48"/>
      <c r="L38" s="48"/>
      <c r="M38" s="48"/>
      <c r="N38" s="48"/>
      <c r="O38" s="48"/>
      <c r="P38" s="48"/>
      <c r="Q38" s="48"/>
      <c r="R38" s="48"/>
      <c r="S38" s="48"/>
      <c r="T38" s="48"/>
      <c r="U38" s="48"/>
    </row>
    <row r="39" spans="1:21">
      <c r="A39" s="25" t="s">
        <v>438</v>
      </c>
      <c r="B39" s="48"/>
      <c r="C39" s="48"/>
      <c r="D39" s="48"/>
      <c r="E39" s="48"/>
      <c r="F39" s="48"/>
      <c r="G39" s="48"/>
      <c r="H39" s="48"/>
      <c r="I39" s="48"/>
      <c r="J39" s="48"/>
      <c r="K39" s="48"/>
      <c r="L39" s="48"/>
      <c r="M39" s="48"/>
      <c r="N39" s="48"/>
      <c r="O39" s="48"/>
      <c r="P39" s="48"/>
      <c r="Q39" s="48"/>
      <c r="R39" s="48"/>
      <c r="S39" s="48"/>
      <c r="T39" s="48"/>
      <c r="U39" s="48">
        <v>0</v>
      </c>
    </row>
    <row r="40" spans="1:21">
      <c r="A40" s="25" t="s">
        <v>439</v>
      </c>
      <c r="B40" s="48"/>
      <c r="C40" s="48"/>
      <c r="D40" s="48"/>
      <c r="E40" s="48"/>
      <c r="F40" s="48"/>
      <c r="G40" s="48"/>
      <c r="H40" s="48"/>
      <c r="I40" s="48"/>
      <c r="J40" s="48"/>
      <c r="K40" s="48"/>
      <c r="L40" s="204">
        <v>32.287943120000001</v>
      </c>
      <c r="M40" s="48"/>
      <c r="N40" s="48"/>
      <c r="O40" s="48"/>
      <c r="P40" s="48"/>
      <c r="Q40" s="48"/>
      <c r="R40" s="48"/>
      <c r="S40" s="48"/>
      <c r="T40" s="48"/>
      <c r="U40" s="205">
        <f t="shared" ref="U40" si="5">SUM(B40:T40)</f>
        <v>32.287943120000001</v>
      </c>
    </row>
    <row r="41" spans="1:21">
      <c r="A41" s="25" t="s">
        <v>440</v>
      </c>
      <c r="B41" s="48"/>
      <c r="C41" s="48"/>
      <c r="D41" s="48"/>
      <c r="E41" s="48"/>
      <c r="F41" s="48"/>
      <c r="G41" s="48"/>
      <c r="H41" s="48"/>
      <c r="I41" s="48"/>
      <c r="J41" s="48"/>
      <c r="K41" s="48"/>
      <c r="L41" s="48"/>
      <c r="M41" s="48"/>
      <c r="N41" s="48"/>
      <c r="O41" s="48"/>
      <c r="P41" s="48"/>
      <c r="Q41" s="48"/>
      <c r="R41" s="48"/>
      <c r="S41" s="48"/>
      <c r="T41" s="48"/>
      <c r="U41" s="205"/>
    </row>
    <row r="42" spans="1:21">
      <c r="A42" s="25" t="s">
        <v>441</v>
      </c>
      <c r="B42" s="204">
        <v>20.230580556934949</v>
      </c>
      <c r="C42" s="204">
        <v>1.7378279400000001</v>
      </c>
      <c r="D42" s="204">
        <v>98.072761968684617</v>
      </c>
      <c r="E42" s="204">
        <v>16.13392554</v>
      </c>
      <c r="F42" s="204">
        <v>15.887484780000003</v>
      </c>
      <c r="G42" s="204">
        <v>35.808434644031003</v>
      </c>
      <c r="H42" s="204">
        <v>24.378307823438661</v>
      </c>
      <c r="I42" s="204">
        <v>11.075829405995432</v>
      </c>
      <c r="J42" s="204">
        <v>15.065916136594369</v>
      </c>
      <c r="K42" s="204">
        <v>4.1149213246557261</v>
      </c>
      <c r="M42" s="204">
        <v>246.93011564236113</v>
      </c>
      <c r="N42" s="204">
        <v>23.389913446953596</v>
      </c>
      <c r="O42" s="204">
        <v>44.812726344616514</v>
      </c>
      <c r="P42" s="204">
        <v>0.135021</v>
      </c>
      <c r="Q42" s="204">
        <v>2.390685559257598</v>
      </c>
      <c r="R42" s="204">
        <v>7.5881827530692494</v>
      </c>
      <c r="S42" s="204">
        <v>34.582414993143956</v>
      </c>
      <c r="T42" s="204">
        <v>25.678367637241902</v>
      </c>
      <c r="U42" s="205">
        <f>SUM(B42:T42)</f>
        <v>628.01341749697883</v>
      </c>
    </row>
    <row r="43" spans="1:21">
      <c r="A43" s="25" t="s">
        <v>443</v>
      </c>
      <c r="B43" s="204"/>
      <c r="C43" s="204"/>
      <c r="D43" s="204"/>
      <c r="E43" s="204"/>
      <c r="F43" s="204"/>
      <c r="G43" s="204"/>
      <c r="H43" s="204"/>
      <c r="I43" s="204"/>
      <c r="J43" s="204"/>
      <c r="K43" s="204"/>
      <c r="L43" s="204"/>
      <c r="M43" s="204"/>
      <c r="N43" s="204"/>
      <c r="O43" s="204"/>
      <c r="P43" s="204"/>
      <c r="Q43" s="204"/>
      <c r="R43" s="204"/>
      <c r="S43" s="204"/>
      <c r="T43" s="204"/>
      <c r="U43" s="205">
        <f t="shared" ref="U43:U46" si="6">SUM(B43:T43)</f>
        <v>0</v>
      </c>
    </row>
    <row r="44" spans="1:21">
      <c r="A44" s="25" t="s">
        <v>226</v>
      </c>
      <c r="B44" s="204">
        <f>SUM(B38:B43)</f>
        <v>20.230580556934949</v>
      </c>
      <c r="C44" s="204">
        <f t="shared" ref="C44:T44" si="7">SUM(C38:C43)</f>
        <v>1.7378279400000001</v>
      </c>
      <c r="D44" s="204">
        <f t="shared" si="7"/>
        <v>98.072761968684617</v>
      </c>
      <c r="E44" s="204">
        <f t="shared" si="7"/>
        <v>16.13392554</v>
      </c>
      <c r="F44" s="204">
        <f t="shared" si="7"/>
        <v>15.887484780000003</v>
      </c>
      <c r="G44" s="204">
        <f t="shared" si="7"/>
        <v>35.808434644031003</v>
      </c>
      <c r="H44" s="204">
        <f t="shared" si="7"/>
        <v>24.378307823438661</v>
      </c>
      <c r="I44" s="204">
        <f t="shared" si="7"/>
        <v>11.075829405995432</v>
      </c>
      <c r="J44" s="204">
        <f t="shared" si="7"/>
        <v>15.065916136594369</v>
      </c>
      <c r="K44" s="204">
        <f t="shared" si="7"/>
        <v>4.1149213246557261</v>
      </c>
      <c r="L44" s="204">
        <f t="shared" si="7"/>
        <v>32.287943120000001</v>
      </c>
      <c r="M44" s="204">
        <f t="shared" si="7"/>
        <v>246.93011564236113</v>
      </c>
      <c r="N44" s="204">
        <f t="shared" si="7"/>
        <v>23.389913446953596</v>
      </c>
      <c r="O44" s="204">
        <f t="shared" si="7"/>
        <v>44.812726344616514</v>
      </c>
      <c r="P44" s="204">
        <f t="shared" si="7"/>
        <v>0.135021</v>
      </c>
      <c r="Q44" s="204">
        <f t="shared" si="7"/>
        <v>2.390685559257598</v>
      </c>
      <c r="R44" s="204">
        <f t="shared" si="7"/>
        <v>7.5881827530692494</v>
      </c>
      <c r="S44" s="204">
        <f t="shared" si="7"/>
        <v>34.582414993143956</v>
      </c>
      <c r="T44" s="204">
        <f t="shared" si="7"/>
        <v>25.678367637241902</v>
      </c>
      <c r="U44" s="205">
        <f t="shared" si="6"/>
        <v>660.30136061697885</v>
      </c>
    </row>
    <row r="45" spans="1:21">
      <c r="B45" s="48"/>
      <c r="C45" s="48"/>
      <c r="D45" s="48"/>
      <c r="E45" s="48"/>
      <c r="F45" s="48"/>
      <c r="G45" s="48"/>
      <c r="H45" s="48"/>
      <c r="I45" s="48"/>
      <c r="J45" s="48"/>
      <c r="K45" s="48"/>
      <c r="L45" s="48"/>
      <c r="M45" s="48"/>
      <c r="N45" s="48"/>
      <c r="O45" s="48"/>
      <c r="P45" s="48"/>
      <c r="Q45" s="48"/>
      <c r="R45" s="48"/>
      <c r="S45" s="48"/>
      <c r="T45" s="48"/>
      <c r="U45" s="205"/>
    </row>
    <row r="46" spans="1:21">
      <c r="A46" s="25" t="s">
        <v>209</v>
      </c>
      <c r="B46" s="204">
        <f t="shared" ref="B46:T46" si="8">B44</f>
        <v>20.230580556934949</v>
      </c>
      <c r="C46" s="204">
        <f t="shared" si="8"/>
        <v>1.7378279400000001</v>
      </c>
      <c r="D46" s="204">
        <f t="shared" si="8"/>
        <v>98.072761968684617</v>
      </c>
      <c r="E46" s="204">
        <f t="shared" si="8"/>
        <v>16.13392554</v>
      </c>
      <c r="F46" s="204">
        <f t="shared" si="8"/>
        <v>15.887484780000003</v>
      </c>
      <c r="G46" s="204">
        <f t="shared" si="8"/>
        <v>35.808434644031003</v>
      </c>
      <c r="H46" s="204">
        <f t="shared" si="8"/>
        <v>24.378307823438661</v>
      </c>
      <c r="I46" s="204">
        <f t="shared" si="8"/>
        <v>11.075829405995432</v>
      </c>
      <c r="J46" s="204">
        <f t="shared" si="8"/>
        <v>15.065916136594369</v>
      </c>
      <c r="K46" s="204">
        <f t="shared" si="8"/>
        <v>4.1149213246557261</v>
      </c>
      <c r="L46" s="204">
        <f t="shared" si="8"/>
        <v>32.287943120000001</v>
      </c>
      <c r="M46" s="204">
        <f t="shared" si="8"/>
        <v>246.93011564236113</v>
      </c>
      <c r="N46" s="204">
        <f t="shared" si="8"/>
        <v>23.389913446953596</v>
      </c>
      <c r="O46" s="204">
        <f t="shared" si="8"/>
        <v>44.812726344616514</v>
      </c>
      <c r="P46" s="204">
        <f t="shared" si="8"/>
        <v>0.135021</v>
      </c>
      <c r="Q46" s="204">
        <f t="shared" si="8"/>
        <v>2.390685559257598</v>
      </c>
      <c r="R46" s="204">
        <f t="shared" si="8"/>
        <v>7.5881827530692494</v>
      </c>
      <c r="S46" s="204">
        <f t="shared" si="8"/>
        <v>34.582414993143956</v>
      </c>
      <c r="T46" s="204">
        <f t="shared" si="8"/>
        <v>25.678367637241902</v>
      </c>
      <c r="U46" s="205">
        <f t="shared" si="6"/>
        <v>660.30136061697885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activeCell="F30" sqref="F30"/>
    </sheetView>
  </sheetViews>
  <sheetFormatPr defaultColWidth="9.109375" defaultRowHeight="13.2"/>
  <cols>
    <col min="1" max="1" width="4.88671875" style="10" customWidth="1"/>
    <col min="2" max="2" width="46.6640625" style="10" customWidth="1"/>
    <col min="3" max="3" width="11" style="10" bestFit="1" customWidth="1"/>
    <col min="4" max="4" width="12" style="10" bestFit="1" customWidth="1"/>
    <col min="5" max="5" width="17.5546875" style="10" bestFit="1" customWidth="1"/>
    <col min="6" max="6" width="16.88671875" style="10" bestFit="1" customWidth="1"/>
    <col min="7" max="7" width="18" style="10" bestFit="1" customWidth="1"/>
    <col min="8" max="9" width="19" style="10" bestFit="1" customWidth="1"/>
    <col min="10" max="10" width="10.33203125" style="10" bestFit="1" customWidth="1"/>
    <col min="11" max="16384" width="9.109375" style="10"/>
  </cols>
  <sheetData>
    <row r="1" spans="1:11">
      <c r="B1" s="11" t="s">
        <v>228</v>
      </c>
    </row>
    <row r="4" spans="1:11">
      <c r="C4" s="12"/>
      <c r="D4" s="12"/>
      <c r="E4" s="12"/>
      <c r="F4" s="12"/>
      <c r="G4" s="12"/>
      <c r="H4" s="20"/>
    </row>
    <row r="5" spans="1:11">
      <c r="C5" s="12" t="s">
        <v>192</v>
      </c>
      <c r="D5" s="12" t="s">
        <v>193</v>
      </c>
      <c r="E5" s="12" t="s">
        <v>211</v>
      </c>
      <c r="F5" s="12" t="s">
        <v>212</v>
      </c>
      <c r="G5" s="12" t="s">
        <v>213</v>
      </c>
      <c r="H5" s="13" t="s">
        <v>214</v>
      </c>
      <c r="I5" s="13" t="s">
        <v>1412</v>
      </c>
      <c r="J5" s="13" t="s">
        <v>214</v>
      </c>
      <c r="K5" s="13" t="s">
        <v>279</v>
      </c>
    </row>
    <row r="6" spans="1:11">
      <c r="B6" s="12"/>
      <c r="C6" s="302" t="s">
        <v>229</v>
      </c>
      <c r="D6" s="302"/>
      <c r="E6" s="302"/>
      <c r="F6" s="302"/>
      <c r="G6" s="302"/>
      <c r="H6" s="302"/>
      <c r="I6" s="302"/>
      <c r="J6" s="302"/>
      <c r="K6" s="302"/>
    </row>
    <row r="8" spans="1:11">
      <c r="B8" s="12" t="s">
        <v>124</v>
      </c>
      <c r="C8" s="12" t="s">
        <v>230</v>
      </c>
      <c r="D8" s="12" t="s">
        <v>1404</v>
      </c>
      <c r="E8" s="12" t="s">
        <v>1405</v>
      </c>
      <c r="F8" s="12" t="s">
        <v>1406</v>
      </c>
      <c r="G8" s="12" t="s">
        <v>1407</v>
      </c>
      <c r="H8" s="16" t="s">
        <v>1408</v>
      </c>
      <c r="I8" s="10" t="s">
        <v>1409</v>
      </c>
      <c r="J8" s="10" t="s">
        <v>1410</v>
      </c>
      <c r="K8" s="10" t="s">
        <v>1411</v>
      </c>
    </row>
    <row r="9" spans="1:11">
      <c r="B9" s="13" t="s">
        <v>195</v>
      </c>
      <c r="C9" s="13"/>
      <c r="D9" s="13"/>
      <c r="E9" s="13"/>
      <c r="F9" s="13"/>
      <c r="G9" s="13"/>
      <c r="H9" s="13"/>
      <c r="I9" s="13"/>
      <c r="J9" s="13"/>
      <c r="K9" s="13"/>
    </row>
    <row r="10" spans="1:11">
      <c r="A10" s="10">
        <v>1</v>
      </c>
      <c r="B10" s="10" t="s">
        <v>437</v>
      </c>
    </row>
    <row r="11" spans="1:11">
      <c r="A11" s="10">
        <v>2</v>
      </c>
      <c r="B11" s="10" t="s">
        <v>438</v>
      </c>
    </row>
    <row r="12" spans="1:11">
      <c r="A12" s="10">
        <v>3</v>
      </c>
      <c r="B12" s="10" t="s">
        <v>439</v>
      </c>
    </row>
    <row r="13" spans="1:11">
      <c r="A13" s="10">
        <v>4</v>
      </c>
      <c r="B13" s="10" t="s">
        <v>440</v>
      </c>
    </row>
    <row r="14" spans="1:11">
      <c r="A14" s="10">
        <v>5</v>
      </c>
      <c r="B14" s="10" t="s">
        <v>441</v>
      </c>
    </row>
    <row r="15" spans="1:11">
      <c r="A15" s="10">
        <v>6</v>
      </c>
      <c r="B15" s="10" t="s">
        <v>443</v>
      </c>
    </row>
    <row r="16" spans="1:11">
      <c r="B16" s="10" t="s">
        <v>200</v>
      </c>
    </row>
    <row r="18" spans="1:11">
      <c r="B18" s="13" t="s">
        <v>201</v>
      </c>
      <c r="C18" s="13"/>
      <c r="D18" s="13"/>
      <c r="E18" s="13"/>
      <c r="F18" s="13"/>
      <c r="G18" s="13"/>
      <c r="H18" s="13"/>
      <c r="I18" s="13"/>
      <c r="J18" s="13"/>
      <c r="K18" s="13"/>
    </row>
    <row r="19" spans="1:11">
      <c r="A19" s="10">
        <v>7</v>
      </c>
      <c r="B19" s="10" t="s">
        <v>437</v>
      </c>
      <c r="C19" s="203"/>
      <c r="D19" s="203"/>
      <c r="E19" s="203"/>
      <c r="F19" s="203"/>
      <c r="G19" s="203"/>
      <c r="H19" s="203"/>
      <c r="I19" s="203"/>
      <c r="J19" s="203"/>
      <c r="K19" s="203"/>
    </row>
    <row r="20" spans="1:11">
      <c r="A20" s="10">
        <v>8</v>
      </c>
      <c r="B20" s="10" t="s">
        <v>438</v>
      </c>
      <c r="C20" s="215">
        <v>0</v>
      </c>
      <c r="D20" s="215">
        <v>0.45012417689238171</v>
      </c>
      <c r="E20" s="215">
        <v>2.9805889999999998E-2</v>
      </c>
      <c r="F20" s="215">
        <v>0</v>
      </c>
      <c r="G20" s="215">
        <v>8.7274320000000002E-2</v>
      </c>
      <c r="H20" s="215">
        <v>0</v>
      </c>
      <c r="I20" s="215">
        <v>0</v>
      </c>
      <c r="J20" s="215">
        <v>0</v>
      </c>
      <c r="K20" s="215">
        <f>SUM(C20:J20)</f>
        <v>0.56720438689238173</v>
      </c>
    </row>
    <row r="21" spans="1:11">
      <c r="A21" s="10">
        <v>9</v>
      </c>
      <c r="B21" s="10" t="s">
        <v>439</v>
      </c>
      <c r="C21" s="215">
        <v>1252.9479156800001</v>
      </c>
      <c r="D21" s="215">
        <v>0</v>
      </c>
      <c r="E21" s="215">
        <v>0</v>
      </c>
      <c r="F21" s="215">
        <v>0</v>
      </c>
      <c r="G21" s="215">
        <v>0</v>
      </c>
      <c r="H21" s="215">
        <v>0</v>
      </c>
      <c r="I21" s="215">
        <v>0</v>
      </c>
      <c r="J21" s="215">
        <v>0</v>
      </c>
      <c r="K21" s="215">
        <f t="shared" ref="K21:K25" si="0">SUM(C21:J21)</f>
        <v>1252.9479156800001</v>
      </c>
    </row>
    <row r="22" spans="1:11">
      <c r="A22" s="10">
        <v>10</v>
      </c>
      <c r="B22" s="10" t="s">
        <v>440</v>
      </c>
      <c r="C22" s="215">
        <v>0.85995199792821542</v>
      </c>
      <c r="D22" s="215">
        <v>66.15476549078312</v>
      </c>
      <c r="E22" s="215">
        <v>0.99233652386379056</v>
      </c>
      <c r="F22" s="215">
        <v>51.958997127082938</v>
      </c>
      <c r="G22" s="215">
        <v>7.4516799999999996E-3</v>
      </c>
      <c r="H22" s="215">
        <v>0</v>
      </c>
      <c r="I22" s="215">
        <v>0</v>
      </c>
      <c r="J22" s="215">
        <v>0</v>
      </c>
      <c r="K22" s="215">
        <f t="shared" si="0"/>
        <v>119.97350281965807</v>
      </c>
    </row>
    <row r="23" spans="1:11">
      <c r="A23" s="10">
        <v>11</v>
      </c>
      <c r="B23" s="10" t="s">
        <v>441</v>
      </c>
      <c r="C23" s="215">
        <v>9.1649366355247377</v>
      </c>
      <c r="D23" s="215">
        <v>128.54576244895884</v>
      </c>
      <c r="E23" s="215">
        <v>108.94798499089184</v>
      </c>
      <c r="F23" s="215">
        <v>585.06032343407264</v>
      </c>
      <c r="G23" s="215">
        <v>47.41231408523074</v>
      </c>
      <c r="H23" s="215">
        <v>0</v>
      </c>
      <c r="I23" s="215">
        <v>0</v>
      </c>
      <c r="J23" s="215">
        <v>0</v>
      </c>
      <c r="K23" s="215">
        <f t="shared" si="0"/>
        <v>879.13132159467875</v>
      </c>
    </row>
    <row r="24" spans="1:11">
      <c r="A24" s="10">
        <v>12</v>
      </c>
      <c r="B24" s="10" t="s">
        <v>443</v>
      </c>
      <c r="C24" s="215">
        <v>9.5006009987720876</v>
      </c>
      <c r="D24" s="215">
        <v>5.8643514513228396</v>
      </c>
      <c r="E24" s="215">
        <v>4.8111218983402129</v>
      </c>
      <c r="F24" s="215">
        <v>35.417333797522815</v>
      </c>
      <c r="G24" s="215">
        <v>81.944254539303273</v>
      </c>
      <c r="H24" s="215">
        <v>295.87962912185509</v>
      </c>
      <c r="I24" s="215">
        <v>237.27387038717018</v>
      </c>
      <c r="J24" s="215">
        <v>0.3906909944855933</v>
      </c>
      <c r="K24" s="215">
        <f t="shared" si="0"/>
        <v>671.08185318877213</v>
      </c>
    </row>
    <row r="25" spans="1:11">
      <c r="B25" s="10" t="s">
        <v>208</v>
      </c>
      <c r="C25" s="215">
        <f>SUM(C20:C24)</f>
        <v>1272.4734053122252</v>
      </c>
      <c r="D25" s="215">
        <f t="shared" ref="D25:J25" si="1">SUM(D20:D24)</f>
        <v>201.01500356795719</v>
      </c>
      <c r="E25" s="215">
        <f t="shared" si="1"/>
        <v>114.78124930309585</v>
      </c>
      <c r="F25" s="215">
        <f t="shared" si="1"/>
        <v>672.43665435867842</v>
      </c>
      <c r="G25" s="215">
        <f t="shared" si="1"/>
        <v>129.451294624534</v>
      </c>
      <c r="H25" s="215">
        <f t="shared" si="1"/>
        <v>295.87962912185509</v>
      </c>
      <c r="I25" s="215">
        <f t="shared" si="1"/>
        <v>237.27387038717018</v>
      </c>
      <c r="J25" s="215">
        <f t="shared" si="1"/>
        <v>0.3906909944855933</v>
      </c>
      <c r="K25" s="215">
        <f t="shared" si="0"/>
        <v>2923.7017976700013</v>
      </c>
    </row>
    <row r="26" spans="1:11">
      <c r="C26" s="215"/>
      <c r="D26" s="215"/>
      <c r="E26" s="215"/>
      <c r="F26" s="215"/>
      <c r="G26" s="215"/>
      <c r="H26" s="215"/>
      <c r="I26" s="215"/>
      <c r="J26" s="215"/>
      <c r="K26" s="215"/>
    </row>
    <row r="27" spans="1:11">
      <c r="A27" s="10">
        <v>13</v>
      </c>
      <c r="B27" s="10" t="s">
        <v>209</v>
      </c>
      <c r="C27" s="215">
        <f>C25</f>
        <v>1272.4734053122252</v>
      </c>
      <c r="D27" s="215">
        <f t="shared" ref="D27:K27" si="2">D25</f>
        <v>201.01500356795719</v>
      </c>
      <c r="E27" s="215">
        <f t="shared" si="2"/>
        <v>114.78124930309585</v>
      </c>
      <c r="F27" s="215">
        <f t="shared" si="2"/>
        <v>672.43665435867842</v>
      </c>
      <c r="G27" s="215">
        <f t="shared" si="2"/>
        <v>129.451294624534</v>
      </c>
      <c r="H27" s="215">
        <f t="shared" si="2"/>
        <v>295.87962912185509</v>
      </c>
      <c r="I27" s="215">
        <f t="shared" si="2"/>
        <v>237.27387038717018</v>
      </c>
      <c r="J27" s="215">
        <f t="shared" si="2"/>
        <v>0.3906909944855933</v>
      </c>
      <c r="K27" s="215">
        <f t="shared" si="2"/>
        <v>2923.7017976700013</v>
      </c>
    </row>
    <row r="33" spans="1:11">
      <c r="C33" s="13" t="s">
        <v>192</v>
      </c>
      <c r="D33" s="13" t="s">
        <v>193</v>
      </c>
      <c r="E33" s="13" t="s">
        <v>211</v>
      </c>
      <c r="F33" s="13" t="s">
        <v>212</v>
      </c>
      <c r="G33" s="13" t="s">
        <v>213</v>
      </c>
      <c r="H33" s="13" t="s">
        <v>214</v>
      </c>
      <c r="I33" s="13" t="s">
        <v>1412</v>
      </c>
      <c r="J33" s="13" t="s">
        <v>214</v>
      </c>
      <c r="K33" s="13" t="s">
        <v>279</v>
      </c>
    </row>
    <row r="34" spans="1:11">
      <c r="B34" s="12"/>
      <c r="C34" s="302" t="s">
        <v>229</v>
      </c>
      <c r="D34" s="302"/>
      <c r="E34" s="302"/>
      <c r="F34" s="302"/>
      <c r="G34" s="302"/>
      <c r="H34" s="302"/>
      <c r="I34" s="302"/>
      <c r="J34" s="302"/>
      <c r="K34" s="302"/>
    </row>
    <row r="36" spans="1:11">
      <c r="B36" s="12" t="s">
        <v>125</v>
      </c>
      <c r="C36" s="12" t="s">
        <v>230</v>
      </c>
      <c r="D36" s="12" t="s">
        <v>1404</v>
      </c>
      <c r="E36" s="12" t="s">
        <v>1405</v>
      </c>
      <c r="F36" s="12" t="s">
        <v>1406</v>
      </c>
      <c r="G36" s="12" t="s">
        <v>1407</v>
      </c>
      <c r="H36" s="16" t="s">
        <v>1408</v>
      </c>
      <c r="I36" s="10" t="s">
        <v>1409</v>
      </c>
      <c r="J36" s="10" t="s">
        <v>1410</v>
      </c>
      <c r="K36" s="10" t="s">
        <v>1411</v>
      </c>
    </row>
    <row r="37" spans="1:11">
      <c r="B37" s="13" t="s">
        <v>195</v>
      </c>
      <c r="C37" s="13"/>
      <c r="D37" s="13"/>
      <c r="E37" s="13"/>
      <c r="F37" s="13"/>
      <c r="G37" s="13"/>
      <c r="H37" s="13"/>
      <c r="I37" s="13"/>
      <c r="J37" s="13"/>
      <c r="K37" s="13"/>
    </row>
    <row r="38" spans="1:11">
      <c r="A38" s="10">
        <v>1</v>
      </c>
      <c r="B38" s="10" t="s">
        <v>437</v>
      </c>
    </row>
    <row r="39" spans="1:11">
      <c r="A39" s="10">
        <v>2</v>
      </c>
      <c r="B39" s="10" t="s">
        <v>438</v>
      </c>
    </row>
    <row r="40" spans="1:11">
      <c r="A40" s="10">
        <v>3</v>
      </c>
      <c r="B40" s="10" t="s">
        <v>439</v>
      </c>
      <c r="K40" s="37"/>
    </row>
    <row r="41" spans="1:11">
      <c r="A41" s="10">
        <v>4</v>
      </c>
      <c r="B41" s="10" t="s">
        <v>440</v>
      </c>
    </row>
    <row r="42" spans="1:11">
      <c r="A42" s="10">
        <v>5</v>
      </c>
      <c r="B42" s="10" t="s">
        <v>441</v>
      </c>
    </row>
    <row r="43" spans="1:11">
      <c r="A43" s="10">
        <v>6</v>
      </c>
      <c r="B43" s="10" t="s">
        <v>443</v>
      </c>
    </row>
    <row r="44" spans="1:11">
      <c r="B44" s="10" t="s">
        <v>200</v>
      </c>
    </row>
    <row r="46" spans="1:11">
      <c r="B46" s="13" t="s">
        <v>201</v>
      </c>
      <c r="C46" s="13"/>
      <c r="D46" s="13"/>
      <c r="E46" s="13"/>
      <c r="F46" s="13"/>
      <c r="G46" s="13"/>
      <c r="H46" s="13"/>
      <c r="I46" s="13"/>
      <c r="J46" s="13"/>
      <c r="K46" s="13"/>
    </row>
    <row r="47" spans="1:11">
      <c r="A47" s="10">
        <v>7</v>
      </c>
      <c r="B47" s="10" t="s">
        <v>437</v>
      </c>
      <c r="C47" s="215"/>
      <c r="D47" s="215"/>
      <c r="E47" s="215"/>
      <c r="F47" s="215"/>
      <c r="G47" s="215"/>
      <c r="H47" s="215"/>
      <c r="I47" s="215"/>
      <c r="J47" s="215"/>
      <c r="K47" s="215"/>
    </row>
    <row r="48" spans="1:11">
      <c r="A48" s="10">
        <v>8</v>
      </c>
      <c r="B48" s="10" t="s">
        <v>438</v>
      </c>
      <c r="C48" s="215"/>
      <c r="D48" s="215"/>
      <c r="E48" s="215"/>
      <c r="F48" s="215"/>
      <c r="G48" s="215"/>
      <c r="H48" s="215"/>
      <c r="I48" s="215"/>
      <c r="J48" s="215"/>
      <c r="K48" s="215">
        <f>SUM(C48:J48)</f>
        <v>0</v>
      </c>
    </row>
    <row r="49" spans="1:11">
      <c r="A49" s="10">
        <v>9</v>
      </c>
      <c r="B49" s="10" t="s">
        <v>439</v>
      </c>
      <c r="C49" s="215">
        <v>676.98720860000003</v>
      </c>
      <c r="D49" s="215">
        <v>0</v>
      </c>
      <c r="E49" s="215">
        <v>0</v>
      </c>
      <c r="F49" s="215">
        <v>0</v>
      </c>
      <c r="G49" s="215">
        <v>0</v>
      </c>
      <c r="H49" s="215">
        <v>38.700000000000003</v>
      </c>
      <c r="I49" s="215">
        <v>0</v>
      </c>
      <c r="J49" s="215">
        <v>0</v>
      </c>
      <c r="K49" s="215">
        <f t="shared" ref="K49:K53" si="3">SUM(C49:J49)</f>
        <v>715.68720860000008</v>
      </c>
    </row>
    <row r="50" spans="1:11">
      <c r="A50" s="10">
        <v>10</v>
      </c>
      <c r="B50" s="10" t="s">
        <v>440</v>
      </c>
      <c r="C50" s="215">
        <v>0.88611282148807435</v>
      </c>
      <c r="D50" s="215">
        <v>68.16727683073897</v>
      </c>
      <c r="E50" s="215">
        <v>1.0225246515445769</v>
      </c>
      <c r="F50" s="215">
        <v>53.539655302729507</v>
      </c>
      <c r="G50" s="215">
        <v>7.6783694968256154E-3</v>
      </c>
      <c r="H50" s="215">
        <v>0</v>
      </c>
      <c r="I50" s="215">
        <v>0</v>
      </c>
      <c r="J50" s="215">
        <v>0</v>
      </c>
      <c r="K50" s="215">
        <f t="shared" si="3"/>
        <v>123.62324797599794</v>
      </c>
    </row>
    <row r="51" spans="1:11">
      <c r="A51" s="10">
        <v>11</v>
      </c>
      <c r="B51" s="10" t="s">
        <v>441</v>
      </c>
      <c r="C51" s="215">
        <v>6.4495075224300979</v>
      </c>
      <c r="D51" s="215">
        <v>90.45963926008146</v>
      </c>
      <c r="E51" s="215">
        <v>76.668380447796466</v>
      </c>
      <c r="F51" s="215">
        <v>411.7159896596923</v>
      </c>
      <c r="G51" s="215">
        <v>33.364778013111319</v>
      </c>
      <c r="H51" s="215">
        <v>0</v>
      </c>
      <c r="I51" s="215">
        <v>0</v>
      </c>
      <c r="J51" s="215">
        <v>0</v>
      </c>
      <c r="K51" s="215">
        <f t="shared" si="3"/>
        <v>618.6582949031116</v>
      </c>
    </row>
    <row r="52" spans="1:11">
      <c r="A52" s="10">
        <v>12</v>
      </c>
      <c r="B52" s="10" t="s">
        <v>443</v>
      </c>
      <c r="C52" s="215">
        <v>2.309609052207521</v>
      </c>
      <c r="D52" s="215">
        <v>1.4256318309812288</v>
      </c>
      <c r="E52" s="215">
        <v>1.1695902910896419</v>
      </c>
      <c r="F52" s="215">
        <v>8.6100021203275876</v>
      </c>
      <c r="G52" s="215">
        <v>19.92075996927279</v>
      </c>
      <c r="H52" s="215">
        <v>71.92874112616272</v>
      </c>
      <c r="I52" s="215">
        <v>57.681601297575838</v>
      </c>
      <c r="J52" s="215">
        <v>9.4977513274845354E-2</v>
      </c>
      <c r="K52" s="215">
        <f t="shared" si="3"/>
        <v>163.14091320089216</v>
      </c>
    </row>
    <row r="53" spans="1:11">
      <c r="B53" s="10" t="s">
        <v>208</v>
      </c>
      <c r="C53" s="215">
        <f>SUM(C48:C52)</f>
        <v>686.63243799612565</v>
      </c>
      <c r="D53" s="215">
        <f t="shared" ref="D53" si="4">SUM(D48:D52)</f>
        <v>160.05254792180165</v>
      </c>
      <c r="E53" s="215">
        <f t="shared" ref="E53" si="5">SUM(E48:E52)</f>
        <v>78.860495390430685</v>
      </c>
      <c r="F53" s="215">
        <f t="shared" ref="F53" si="6">SUM(F48:F52)</f>
        <v>473.86564708274938</v>
      </c>
      <c r="G53" s="215">
        <f t="shared" ref="G53" si="7">SUM(G48:G52)</f>
        <v>53.293216351880929</v>
      </c>
      <c r="H53" s="215">
        <f t="shared" ref="H53" si="8">SUM(H48:H52)</f>
        <v>110.62874112616272</v>
      </c>
      <c r="I53" s="215">
        <f t="shared" ref="I53" si="9">SUM(I48:I52)</f>
        <v>57.681601297575838</v>
      </c>
      <c r="J53" s="215">
        <f t="shared" ref="J53" si="10">SUM(J48:J52)</f>
        <v>9.4977513274845354E-2</v>
      </c>
      <c r="K53" s="215">
        <f t="shared" si="3"/>
        <v>1621.1096646800017</v>
      </c>
    </row>
    <row r="54" spans="1:11">
      <c r="C54" s="215"/>
      <c r="D54" s="215"/>
      <c r="E54" s="215"/>
      <c r="F54" s="215"/>
      <c r="G54" s="215"/>
      <c r="H54" s="215"/>
      <c r="I54" s="215"/>
      <c r="J54" s="215"/>
      <c r="K54" s="215"/>
    </row>
    <row r="55" spans="1:11">
      <c r="A55" s="10">
        <v>13</v>
      </c>
      <c r="B55" s="10" t="s">
        <v>209</v>
      </c>
      <c r="C55" s="215">
        <f>C53</f>
        <v>686.63243799612565</v>
      </c>
      <c r="D55" s="215">
        <f t="shared" ref="D55:K55" si="11">D53</f>
        <v>160.05254792180165</v>
      </c>
      <c r="E55" s="215">
        <f t="shared" si="11"/>
        <v>78.860495390430685</v>
      </c>
      <c r="F55" s="215">
        <f t="shared" si="11"/>
        <v>473.86564708274938</v>
      </c>
      <c r="G55" s="215">
        <f t="shared" si="11"/>
        <v>53.293216351880929</v>
      </c>
      <c r="H55" s="215">
        <f t="shared" si="11"/>
        <v>110.62874112616272</v>
      </c>
      <c r="I55" s="215">
        <f t="shared" si="11"/>
        <v>57.681601297575838</v>
      </c>
      <c r="J55" s="215">
        <f t="shared" si="11"/>
        <v>9.4977513274845354E-2</v>
      </c>
      <c r="K55" s="215">
        <f t="shared" si="11"/>
        <v>1621.1096646800017</v>
      </c>
    </row>
    <row r="57" spans="1:11">
      <c r="C57" s="206"/>
      <c r="D57" s="206"/>
      <c r="E57" s="206"/>
      <c r="F57" s="206"/>
      <c r="G57" s="206"/>
      <c r="H57" s="206"/>
      <c r="I57" s="206"/>
      <c r="J57" s="206"/>
    </row>
    <row r="58" spans="1:11">
      <c r="C58" s="206"/>
      <c r="D58" s="206"/>
      <c r="E58" s="206"/>
      <c r="F58" s="206"/>
      <c r="G58" s="206"/>
      <c r="H58" s="206"/>
      <c r="I58" s="206"/>
      <c r="J58" s="206"/>
    </row>
    <row r="59" spans="1:11">
      <c r="C59" s="206"/>
      <c r="D59" s="206"/>
      <c r="E59" s="206"/>
      <c r="F59" s="206"/>
      <c r="G59" s="206"/>
      <c r="H59" s="206"/>
      <c r="I59" s="206"/>
      <c r="J59" s="206"/>
    </row>
    <row r="60" spans="1:11">
      <c r="C60" s="206"/>
      <c r="D60" s="206"/>
      <c r="E60" s="206"/>
      <c r="F60" s="206"/>
      <c r="G60" s="206"/>
      <c r="H60" s="206"/>
      <c r="I60" s="206"/>
      <c r="J60" s="206"/>
    </row>
  </sheetData>
  <mergeCells count="2">
    <mergeCell ref="C6:K6"/>
    <mergeCell ref="C34:K3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6"/>
  <sheetViews>
    <sheetView topLeftCell="A106" workbookViewId="0">
      <selection activeCell="C128" sqref="C128"/>
    </sheetView>
  </sheetViews>
  <sheetFormatPr defaultColWidth="5.6640625" defaultRowHeight="13.2"/>
  <cols>
    <col min="1" max="1" width="5.44140625" style="25" customWidth="1"/>
    <col min="2" max="2" width="54.88671875" style="25" customWidth="1"/>
    <col min="3" max="3" width="20.6640625" style="25" customWidth="1"/>
    <col min="4" max="4" width="20.44140625" style="25" customWidth="1"/>
    <col min="5" max="5" width="23" style="25" customWidth="1"/>
    <col min="6" max="6" width="16.109375" style="25" customWidth="1"/>
    <col min="7" max="7" width="16.5546875" style="25" customWidth="1"/>
    <col min="8" max="8" width="16.33203125" style="25" customWidth="1"/>
    <col min="9" max="9" width="18.109375" style="25" customWidth="1"/>
    <col min="10" max="16384" width="5.6640625" style="25"/>
  </cols>
  <sheetData>
    <row r="1" spans="1:9">
      <c r="B1" s="29" t="s">
        <v>239</v>
      </c>
    </row>
    <row r="2" spans="1:9">
      <c r="B2" s="29"/>
    </row>
    <row r="3" spans="1:9">
      <c r="B3" s="29"/>
    </row>
    <row r="4" spans="1:9">
      <c r="B4" s="29"/>
    </row>
    <row r="5" spans="1:9">
      <c r="B5" s="28" t="s">
        <v>231</v>
      </c>
      <c r="C5" s="28" t="s">
        <v>192</v>
      </c>
      <c r="D5" s="28" t="s">
        <v>193</v>
      </c>
      <c r="E5" s="28" t="s">
        <v>211</v>
      </c>
      <c r="F5" s="28" t="s">
        <v>212</v>
      </c>
      <c r="G5" s="28" t="s">
        <v>213</v>
      </c>
      <c r="H5" s="28" t="s">
        <v>214</v>
      </c>
      <c r="I5" s="28" t="s">
        <v>215</v>
      </c>
    </row>
    <row r="6" spans="1:9">
      <c r="C6" s="28" t="s">
        <v>232</v>
      </c>
    </row>
    <row r="7" spans="1:9" ht="52.8">
      <c r="C7" s="31" t="s">
        <v>1418</v>
      </c>
      <c r="D7" s="33" t="s">
        <v>1419</v>
      </c>
      <c r="E7" s="33" t="s">
        <v>233</v>
      </c>
      <c r="F7" s="33" t="s">
        <v>234</v>
      </c>
      <c r="G7" s="33" t="s">
        <v>235</v>
      </c>
      <c r="H7" s="33" t="s">
        <v>236</v>
      </c>
      <c r="I7" s="31" t="s">
        <v>237</v>
      </c>
    </row>
    <row r="8" spans="1:9">
      <c r="C8" s="34"/>
      <c r="D8" s="210"/>
      <c r="E8" s="210"/>
      <c r="F8" s="210"/>
      <c r="G8" s="210"/>
      <c r="H8" s="210"/>
      <c r="I8" s="34"/>
    </row>
    <row r="9" spans="1:9">
      <c r="B9" s="25" t="s">
        <v>195</v>
      </c>
      <c r="C9" s="34"/>
      <c r="D9" s="210"/>
      <c r="E9" s="210"/>
      <c r="F9" s="210"/>
      <c r="G9" s="210"/>
      <c r="H9" s="210"/>
      <c r="I9" s="34"/>
    </row>
    <row r="10" spans="1:9">
      <c r="B10" s="25" t="s">
        <v>415</v>
      </c>
      <c r="C10" s="34"/>
      <c r="D10" s="210"/>
      <c r="E10" s="210"/>
      <c r="F10" s="210"/>
      <c r="G10" s="210"/>
      <c r="H10" s="210"/>
      <c r="I10" s="34"/>
    </row>
    <row r="11" spans="1:9">
      <c r="A11" s="25">
        <v>1</v>
      </c>
      <c r="B11" s="25" t="s">
        <v>437</v>
      </c>
      <c r="C11" s="212"/>
      <c r="D11" s="212"/>
    </row>
    <row r="12" spans="1:9">
      <c r="A12" s="25">
        <v>2</v>
      </c>
      <c r="B12" s="25" t="s">
        <v>438</v>
      </c>
      <c r="C12" s="212"/>
      <c r="D12" s="212"/>
      <c r="E12" s="48"/>
      <c r="F12" s="48"/>
      <c r="G12" s="48"/>
      <c r="H12" s="48"/>
      <c r="I12" s="48"/>
    </row>
    <row r="13" spans="1:9">
      <c r="A13" s="25">
        <v>3</v>
      </c>
      <c r="B13" s="25" t="s">
        <v>439</v>
      </c>
      <c r="C13" s="212"/>
      <c r="D13" s="212"/>
      <c r="E13" s="48"/>
      <c r="F13" s="48"/>
      <c r="G13" s="48"/>
      <c r="H13" s="48"/>
      <c r="I13" s="48"/>
    </row>
    <row r="14" spans="1:9">
      <c r="A14" s="25">
        <v>4</v>
      </c>
      <c r="B14" s="25" t="s">
        <v>440</v>
      </c>
      <c r="C14" s="212"/>
      <c r="D14" s="212"/>
      <c r="E14" s="48"/>
      <c r="F14" s="48"/>
      <c r="G14" s="48"/>
      <c r="H14" s="48"/>
      <c r="I14" s="48"/>
    </row>
    <row r="15" spans="1:9">
      <c r="A15" s="25">
        <v>5</v>
      </c>
      <c r="B15" s="25" t="s">
        <v>441</v>
      </c>
      <c r="C15" s="212"/>
      <c r="D15" s="212"/>
      <c r="E15" s="48"/>
      <c r="F15" s="48"/>
      <c r="G15" s="48"/>
      <c r="H15" s="48"/>
      <c r="I15" s="48"/>
    </row>
    <row r="16" spans="1:9">
      <c r="A16" s="25">
        <v>6</v>
      </c>
      <c r="B16" s="211" t="s">
        <v>223</v>
      </c>
      <c r="C16" s="212"/>
      <c r="D16" s="212"/>
      <c r="E16" s="48"/>
      <c r="F16" s="48"/>
      <c r="G16" s="48"/>
      <c r="H16" s="48"/>
      <c r="I16" s="48"/>
    </row>
    <row r="17" spans="1:9">
      <c r="A17" s="25">
        <v>7</v>
      </c>
      <c r="B17" s="211" t="s">
        <v>1417</v>
      </c>
      <c r="C17" s="212"/>
      <c r="D17" s="212"/>
      <c r="E17" s="48"/>
      <c r="F17" s="48"/>
      <c r="G17" s="48"/>
      <c r="H17" s="48"/>
      <c r="I17" s="48"/>
    </row>
    <row r="18" spans="1:9">
      <c r="A18" s="25">
        <v>8</v>
      </c>
      <c r="B18" s="25" t="s">
        <v>443</v>
      </c>
      <c r="C18" s="212"/>
      <c r="D18" s="212"/>
      <c r="E18" s="48"/>
      <c r="F18" s="48"/>
      <c r="G18" s="48"/>
      <c r="H18" s="48"/>
      <c r="I18" s="48"/>
    </row>
    <row r="19" spans="1:9">
      <c r="B19" s="211" t="s">
        <v>1411</v>
      </c>
      <c r="C19" s="212">
        <f>SUM(C11:C15,C18)</f>
        <v>0</v>
      </c>
      <c r="D19" s="212">
        <f t="shared" ref="D19:I19" si="0">SUM(D11:D15,D18)</f>
        <v>0</v>
      </c>
      <c r="E19" s="48">
        <f t="shared" si="0"/>
        <v>0</v>
      </c>
      <c r="F19" s="48">
        <f t="shared" si="0"/>
        <v>0</v>
      </c>
      <c r="G19" s="48">
        <f t="shared" si="0"/>
        <v>0</v>
      </c>
      <c r="H19" s="48">
        <f t="shared" si="0"/>
        <v>0</v>
      </c>
      <c r="I19" s="48">
        <f t="shared" si="0"/>
        <v>0</v>
      </c>
    </row>
    <row r="20" spans="1:9">
      <c r="C20" s="48"/>
      <c r="D20" s="48"/>
      <c r="E20" s="48"/>
      <c r="F20" s="48"/>
      <c r="G20" s="48"/>
      <c r="H20" s="48"/>
      <c r="I20" s="48"/>
    </row>
    <row r="21" spans="1:9">
      <c r="B21" s="25" t="s">
        <v>444</v>
      </c>
      <c r="C21" s="48"/>
      <c r="D21" s="48"/>
      <c r="E21" s="48"/>
      <c r="F21" s="48"/>
      <c r="G21" s="48"/>
      <c r="H21" s="48"/>
      <c r="I21" s="48"/>
    </row>
    <row r="22" spans="1:9">
      <c r="A22" s="25">
        <v>9</v>
      </c>
      <c r="B22" s="25" t="s">
        <v>437</v>
      </c>
      <c r="C22" s="48"/>
      <c r="D22" s="48"/>
      <c r="E22" s="48"/>
      <c r="F22" s="48"/>
      <c r="G22" s="48"/>
      <c r="H22" s="48"/>
      <c r="I22" s="48"/>
    </row>
    <row r="23" spans="1:9">
      <c r="A23" s="25">
        <v>10</v>
      </c>
      <c r="B23" s="25" t="s">
        <v>438</v>
      </c>
      <c r="C23" s="48"/>
      <c r="D23" s="48"/>
      <c r="E23" s="48"/>
      <c r="F23" s="48"/>
      <c r="G23" s="48"/>
      <c r="H23" s="48"/>
      <c r="I23" s="48"/>
    </row>
    <row r="24" spans="1:9">
      <c r="A24" s="25">
        <v>11</v>
      </c>
      <c r="B24" s="25" t="s">
        <v>439</v>
      </c>
      <c r="C24" s="48"/>
      <c r="D24" s="48"/>
      <c r="E24" s="48"/>
      <c r="F24" s="48"/>
      <c r="G24" s="48"/>
      <c r="H24" s="48"/>
      <c r="I24" s="48"/>
    </row>
    <row r="25" spans="1:9">
      <c r="A25" s="25">
        <v>12</v>
      </c>
      <c r="B25" s="25" t="s">
        <v>440</v>
      </c>
      <c r="C25" s="48"/>
      <c r="D25" s="48"/>
      <c r="E25" s="48"/>
      <c r="F25" s="48"/>
      <c r="G25" s="48"/>
      <c r="H25" s="48"/>
      <c r="I25" s="48"/>
    </row>
    <row r="26" spans="1:9">
      <c r="A26" s="25">
        <v>13</v>
      </c>
      <c r="B26" s="25" t="s">
        <v>441</v>
      </c>
      <c r="C26" s="48"/>
      <c r="D26" s="48"/>
      <c r="E26" s="48"/>
      <c r="F26" s="48"/>
      <c r="G26" s="48"/>
      <c r="H26" s="48"/>
      <c r="I26" s="48"/>
    </row>
    <row r="27" spans="1:9">
      <c r="B27" s="211" t="s">
        <v>1411</v>
      </c>
      <c r="C27" s="48">
        <f>SUM(C21:C26)</f>
        <v>0</v>
      </c>
      <c r="D27" s="48">
        <f t="shared" ref="D27:I27" si="1">SUM(D21:D26)</f>
        <v>0</v>
      </c>
      <c r="E27" s="48">
        <f t="shared" si="1"/>
        <v>0</v>
      </c>
      <c r="F27" s="48">
        <f t="shared" si="1"/>
        <v>0</v>
      </c>
      <c r="G27" s="48">
        <f t="shared" si="1"/>
        <v>0</v>
      </c>
      <c r="H27" s="48">
        <f t="shared" si="1"/>
        <v>0</v>
      </c>
      <c r="I27" s="48">
        <f t="shared" si="1"/>
        <v>0</v>
      </c>
    </row>
    <row r="28" spans="1:9">
      <c r="C28" s="48"/>
      <c r="D28" s="48"/>
      <c r="E28" s="48"/>
      <c r="F28" s="48"/>
      <c r="G28" s="48"/>
      <c r="H28" s="48"/>
      <c r="I28" s="48"/>
    </row>
    <row r="29" spans="1:9">
      <c r="B29" s="25" t="s">
        <v>423</v>
      </c>
      <c r="C29" s="48"/>
      <c r="D29" s="48"/>
      <c r="E29" s="48"/>
      <c r="F29" s="48"/>
      <c r="G29" s="48"/>
      <c r="H29" s="48"/>
      <c r="I29" s="48"/>
    </row>
    <row r="30" spans="1:9">
      <c r="A30" s="25">
        <v>14</v>
      </c>
      <c r="B30" s="25" t="s">
        <v>437</v>
      </c>
      <c r="C30" s="48"/>
      <c r="D30" s="48"/>
      <c r="E30" s="48"/>
      <c r="F30" s="48"/>
      <c r="G30" s="48"/>
      <c r="H30" s="48"/>
      <c r="I30" s="48"/>
    </row>
    <row r="31" spans="1:9">
      <c r="A31" s="25">
        <v>15</v>
      </c>
      <c r="B31" s="25" t="s">
        <v>438</v>
      </c>
      <c r="C31" s="48"/>
      <c r="D31" s="48"/>
      <c r="E31" s="48"/>
      <c r="F31" s="48"/>
      <c r="G31" s="48"/>
      <c r="H31" s="48"/>
      <c r="I31" s="48"/>
    </row>
    <row r="32" spans="1:9">
      <c r="A32" s="25">
        <v>16</v>
      </c>
      <c r="B32" s="25" t="s">
        <v>439</v>
      </c>
      <c r="C32" s="48"/>
      <c r="D32" s="48"/>
      <c r="E32" s="48"/>
      <c r="F32" s="48"/>
      <c r="G32" s="48"/>
      <c r="H32" s="48"/>
      <c r="I32" s="48"/>
    </row>
    <row r="33" spans="1:9">
      <c r="A33" s="25">
        <v>17</v>
      </c>
      <c r="B33" s="25" t="s">
        <v>440</v>
      </c>
      <c r="C33" s="48"/>
      <c r="D33" s="48"/>
      <c r="E33" s="48"/>
      <c r="F33" s="48"/>
      <c r="G33" s="48"/>
      <c r="H33" s="48"/>
      <c r="I33" s="48"/>
    </row>
    <row r="34" spans="1:9">
      <c r="A34" s="25">
        <v>18</v>
      </c>
      <c r="B34" s="25" t="s">
        <v>441</v>
      </c>
      <c r="C34" s="48"/>
      <c r="D34" s="48"/>
      <c r="E34" s="48"/>
      <c r="F34" s="48"/>
      <c r="G34" s="48"/>
      <c r="H34" s="48"/>
      <c r="I34" s="48"/>
    </row>
    <row r="35" spans="1:9">
      <c r="A35" s="25">
        <v>19</v>
      </c>
      <c r="B35" s="25" t="s">
        <v>443</v>
      </c>
      <c r="C35" s="48"/>
      <c r="D35" s="48"/>
      <c r="E35" s="48"/>
      <c r="F35" s="48"/>
      <c r="G35" s="48"/>
      <c r="H35" s="48"/>
      <c r="I35" s="48"/>
    </row>
    <row r="36" spans="1:9">
      <c r="B36" s="211" t="s">
        <v>1411</v>
      </c>
      <c r="C36" s="48">
        <f>SUM(C30:C35)</f>
        <v>0</v>
      </c>
      <c r="D36" s="48">
        <f t="shared" ref="D36:I36" si="2">SUM(D30:D35)</f>
        <v>0</v>
      </c>
      <c r="E36" s="48">
        <f t="shared" si="2"/>
        <v>0</v>
      </c>
      <c r="F36" s="48">
        <f t="shared" si="2"/>
        <v>0</v>
      </c>
      <c r="G36" s="48">
        <f t="shared" si="2"/>
        <v>0</v>
      </c>
      <c r="H36" s="48">
        <f t="shared" si="2"/>
        <v>0</v>
      </c>
      <c r="I36" s="48">
        <f t="shared" si="2"/>
        <v>0</v>
      </c>
    </row>
    <row r="37" spans="1:9">
      <c r="C37" s="48"/>
      <c r="D37" s="48"/>
      <c r="E37" s="48"/>
      <c r="F37" s="48"/>
      <c r="G37" s="48"/>
      <c r="H37" s="48"/>
      <c r="I37" s="48"/>
    </row>
    <row r="38" spans="1:9">
      <c r="C38" s="48"/>
      <c r="D38" s="48"/>
      <c r="E38" s="48"/>
      <c r="F38" s="48"/>
      <c r="G38" s="48"/>
      <c r="H38" s="48"/>
      <c r="I38" s="48"/>
    </row>
    <row r="39" spans="1:9">
      <c r="C39" s="48"/>
      <c r="D39" s="48"/>
      <c r="E39" s="48"/>
      <c r="F39" s="48"/>
      <c r="G39" s="48"/>
      <c r="H39" s="48"/>
      <c r="I39" s="48"/>
    </row>
    <row r="40" spans="1:9">
      <c r="C40" s="48"/>
      <c r="D40" s="48"/>
      <c r="E40" s="48"/>
      <c r="F40" s="48"/>
      <c r="G40" s="48"/>
      <c r="H40" s="48"/>
      <c r="I40" s="48"/>
    </row>
    <row r="41" spans="1:9">
      <c r="B41" s="25" t="s">
        <v>201</v>
      </c>
      <c r="C41" s="48"/>
      <c r="D41" s="48"/>
      <c r="E41" s="48"/>
      <c r="F41" s="48"/>
      <c r="G41" s="48"/>
      <c r="H41" s="48"/>
      <c r="I41" s="48"/>
    </row>
    <row r="42" spans="1:9">
      <c r="B42" s="25" t="s">
        <v>415</v>
      </c>
      <c r="C42" s="34"/>
      <c r="D42" s="210"/>
      <c r="E42" s="210"/>
      <c r="F42" s="210"/>
      <c r="G42" s="210"/>
      <c r="H42" s="210"/>
    </row>
    <row r="43" spans="1:9">
      <c r="A43" s="25">
        <v>1</v>
      </c>
      <c r="B43" s="25" t="s">
        <v>437</v>
      </c>
      <c r="C43" s="212">
        <v>1209.69249547</v>
      </c>
      <c r="D43" s="212"/>
      <c r="F43" s="212"/>
      <c r="I43" s="213">
        <f>C43+D43-E43-F43</f>
        <v>1209.69249547</v>
      </c>
    </row>
    <row r="44" spans="1:9">
      <c r="A44" s="25">
        <v>2</v>
      </c>
      <c r="B44" s="25" t="s">
        <v>438</v>
      </c>
      <c r="C44" s="212">
        <v>0.57079819689238165</v>
      </c>
      <c r="D44" s="212"/>
      <c r="E44" s="48"/>
      <c r="F44" s="212">
        <v>3.5938099999999998E-3</v>
      </c>
      <c r="G44" s="48"/>
      <c r="H44" s="48"/>
      <c r="I44" s="213">
        <f t="shared" ref="I44:I50" si="3">C44+D44-E44-F44</f>
        <v>0.56720438689238162</v>
      </c>
    </row>
    <row r="45" spans="1:9">
      <c r="A45" s="25">
        <v>3</v>
      </c>
      <c r="B45" s="25" t="s">
        <v>439</v>
      </c>
      <c r="C45" s="212">
        <v>93.412732550000015</v>
      </c>
      <c r="D45" s="212"/>
      <c r="E45" s="48"/>
      <c r="F45" s="212">
        <v>8.9000000000000027E-7</v>
      </c>
      <c r="G45" s="48"/>
      <c r="H45" s="48"/>
      <c r="I45" s="213">
        <f t="shared" si="3"/>
        <v>93.41273166000002</v>
      </c>
    </row>
    <row r="46" spans="1:9">
      <c r="A46" s="25">
        <v>4</v>
      </c>
      <c r="B46" s="25" t="s">
        <v>440</v>
      </c>
      <c r="C46" s="212">
        <v>0.47917734965805708</v>
      </c>
      <c r="D46" s="212">
        <v>2.9553509999999998E-2</v>
      </c>
      <c r="E46" s="48"/>
      <c r="F46" s="212">
        <v>0.29122804000000008</v>
      </c>
      <c r="G46" s="48"/>
      <c r="H46" s="48"/>
      <c r="I46" s="213">
        <f t="shared" si="3"/>
        <v>0.21750281965805701</v>
      </c>
    </row>
    <row r="47" spans="1:9">
      <c r="A47" s="25">
        <v>5</v>
      </c>
      <c r="B47" s="25" t="s">
        <v>441</v>
      </c>
      <c r="C47" s="212">
        <v>874.22544762819734</v>
      </c>
      <c r="D47" s="212">
        <v>8.4345315564761343</v>
      </c>
      <c r="E47" s="48"/>
      <c r="F47" s="212">
        <v>3.5286575900000026</v>
      </c>
      <c r="G47" s="48"/>
      <c r="H47" s="48"/>
      <c r="I47" s="213">
        <f t="shared" si="3"/>
        <v>879.13132159467352</v>
      </c>
    </row>
    <row r="48" spans="1:9">
      <c r="A48" s="25">
        <v>6</v>
      </c>
      <c r="B48" s="211" t="s">
        <v>223</v>
      </c>
      <c r="C48" s="212">
        <v>820.66823976205944</v>
      </c>
      <c r="D48" s="212">
        <v>8.4345315564761343</v>
      </c>
      <c r="E48" s="48"/>
      <c r="F48" s="212">
        <v>3.122685690000004</v>
      </c>
      <c r="G48" s="48"/>
      <c r="H48" s="48"/>
      <c r="I48" s="213">
        <f t="shared" si="3"/>
        <v>825.98008562853556</v>
      </c>
    </row>
    <row r="49" spans="1:9">
      <c r="A49" s="25">
        <v>7</v>
      </c>
      <c r="B49" s="211" t="s">
        <v>1417</v>
      </c>
      <c r="C49" s="212">
        <v>874.22544762819734</v>
      </c>
      <c r="D49" s="212">
        <v>7.6431567664761415</v>
      </c>
      <c r="E49" s="48"/>
      <c r="F49" s="212">
        <v>3.5286575900000026</v>
      </c>
      <c r="G49" s="48"/>
      <c r="H49" s="48"/>
      <c r="I49" s="213">
        <f t="shared" si="3"/>
        <v>878.33994680467356</v>
      </c>
    </row>
    <row r="50" spans="1:9">
      <c r="A50" s="25">
        <v>8</v>
      </c>
      <c r="B50" s="25" t="s">
        <v>443</v>
      </c>
      <c r="C50" s="212">
        <v>734.58932049529324</v>
      </c>
      <c r="D50" s="212">
        <v>3.8554061034823262</v>
      </c>
      <c r="E50" s="48"/>
      <c r="F50" s="212">
        <v>2.2801694245339945</v>
      </c>
      <c r="G50" s="48"/>
      <c r="H50" s="48"/>
      <c r="I50" s="213">
        <f t="shared" si="3"/>
        <v>736.16455717424151</v>
      </c>
    </row>
    <row r="51" spans="1:9">
      <c r="B51" s="211" t="s">
        <v>1411</v>
      </c>
      <c r="C51" s="212">
        <f>SUM(C43:C47,C50)</f>
        <v>2912.9699716900409</v>
      </c>
      <c r="D51" s="212">
        <f t="shared" ref="D51" si="4">SUM(D43:D47,D50)</f>
        <v>12.319491169958461</v>
      </c>
      <c r="E51" s="48">
        <f t="shared" ref="E51" si="5">SUM(E43:E47,E50)</f>
        <v>0</v>
      </c>
      <c r="F51" s="212">
        <f>SUM(F43:F47,F50)</f>
        <v>6.1036497545339969</v>
      </c>
      <c r="G51" s="48">
        <f t="shared" ref="G51" si="6">SUM(G43:G47,G50)</f>
        <v>0</v>
      </c>
      <c r="H51" s="48">
        <f t="shared" ref="H51" si="7">SUM(H43:H47,H50)</f>
        <v>0</v>
      </c>
      <c r="I51" s="212">
        <f>SUM(I43:I47,I50)</f>
        <v>2919.1858131054655</v>
      </c>
    </row>
    <row r="52" spans="1:9">
      <c r="C52" s="48"/>
      <c r="D52" s="48"/>
      <c r="E52" s="48"/>
      <c r="F52" s="48"/>
      <c r="G52" s="48"/>
      <c r="H52" s="48"/>
      <c r="I52" s="48"/>
    </row>
    <row r="53" spans="1:9">
      <c r="B53" s="25" t="s">
        <v>444</v>
      </c>
      <c r="C53" s="48"/>
      <c r="D53" s="48"/>
      <c r="E53" s="48"/>
      <c r="F53" s="48"/>
      <c r="G53" s="48"/>
      <c r="H53" s="48"/>
      <c r="I53" s="48"/>
    </row>
    <row r="54" spans="1:9">
      <c r="A54" s="25">
        <v>9</v>
      </c>
      <c r="B54" s="25" t="s">
        <v>437</v>
      </c>
      <c r="C54" s="212">
        <v>0</v>
      </c>
      <c r="D54" s="48"/>
      <c r="E54" s="48"/>
      <c r="F54" s="48"/>
      <c r="G54" s="48"/>
      <c r="H54" s="48"/>
      <c r="I54" s="213">
        <f>C54+D54-E54-F54</f>
        <v>0</v>
      </c>
    </row>
    <row r="55" spans="1:9">
      <c r="A55" s="25">
        <v>10</v>
      </c>
      <c r="B55" s="25" t="s">
        <v>438</v>
      </c>
      <c r="C55" s="212">
        <v>20.703411729999999</v>
      </c>
      <c r="D55" s="48"/>
      <c r="E55" s="48"/>
      <c r="F55" s="48"/>
      <c r="G55" s="48"/>
      <c r="H55" s="48"/>
      <c r="I55" s="213">
        <f t="shared" ref="I55:I58" si="8">C55+D55-E55-F55</f>
        <v>20.703411729999999</v>
      </c>
    </row>
    <row r="56" spans="1:9">
      <c r="A56" s="25">
        <v>11</v>
      </c>
      <c r="B56" s="25" t="s">
        <v>439</v>
      </c>
      <c r="C56" s="212">
        <v>11.62718248</v>
      </c>
      <c r="D56" s="48"/>
      <c r="E56" s="48"/>
      <c r="F56" s="48"/>
      <c r="G56" s="48"/>
      <c r="H56" s="48"/>
      <c r="I56" s="213">
        <f t="shared" si="8"/>
        <v>11.62718248</v>
      </c>
    </row>
    <row r="57" spans="1:9">
      <c r="A57" s="25">
        <v>12</v>
      </c>
      <c r="B57" s="25" t="s">
        <v>440</v>
      </c>
      <c r="C57" s="212">
        <v>0</v>
      </c>
      <c r="D57" s="48"/>
      <c r="E57" s="48"/>
      <c r="F57" s="48"/>
      <c r="G57" s="48"/>
      <c r="H57" s="48"/>
      <c r="I57" s="213">
        <f t="shared" si="8"/>
        <v>0</v>
      </c>
    </row>
    <row r="58" spans="1:9">
      <c r="A58" s="25">
        <v>13</v>
      </c>
      <c r="B58" s="25" t="s">
        <v>441</v>
      </c>
      <c r="C58" s="212">
        <v>0.43193651</v>
      </c>
      <c r="D58" s="48"/>
      <c r="E58" s="48"/>
      <c r="F58" s="48"/>
      <c r="G58" s="48"/>
      <c r="H58" s="48"/>
      <c r="I58" s="213">
        <f t="shared" si="8"/>
        <v>0.43193651</v>
      </c>
    </row>
    <row r="59" spans="1:9">
      <c r="B59" s="211" t="s">
        <v>1411</v>
      </c>
      <c r="C59" s="212">
        <f>SUM(C53:C58)</f>
        <v>32.762530720000001</v>
      </c>
      <c r="D59" s="48">
        <f t="shared" ref="D59" si="9">SUM(D53:D58)</f>
        <v>0</v>
      </c>
      <c r="E59" s="48">
        <f t="shared" ref="E59" si="10">SUM(E53:E58)</f>
        <v>0</v>
      </c>
      <c r="F59" s="48">
        <f t="shared" ref="F59" si="11">SUM(F53:F58)</f>
        <v>0</v>
      </c>
      <c r="G59" s="48">
        <f t="shared" ref="G59" si="12">SUM(G53:G58)</f>
        <v>0</v>
      </c>
      <c r="H59" s="48">
        <f t="shared" ref="H59" si="13">SUM(H53:H58)</f>
        <v>0</v>
      </c>
      <c r="I59" s="212">
        <f t="shared" ref="I59" si="14">SUM(I53:I58)</f>
        <v>32.762530720000001</v>
      </c>
    </row>
    <row r="60" spans="1:9">
      <c r="C60" s="48"/>
      <c r="D60" s="48"/>
      <c r="E60" s="48"/>
      <c r="F60" s="48"/>
      <c r="G60" s="48"/>
      <c r="H60" s="48"/>
      <c r="I60" s="48"/>
    </row>
    <row r="61" spans="1:9">
      <c r="B61" s="25" t="s">
        <v>1420</v>
      </c>
      <c r="C61" s="48"/>
      <c r="D61" s="48"/>
      <c r="E61" s="48"/>
      <c r="F61" s="48"/>
      <c r="G61" s="48"/>
      <c r="H61" s="48"/>
      <c r="I61" s="48"/>
    </row>
    <row r="62" spans="1:9">
      <c r="A62" s="25">
        <v>14</v>
      </c>
      <c r="B62" s="25" t="s">
        <v>437</v>
      </c>
      <c r="C62" s="212">
        <v>0.20932341000000002</v>
      </c>
      <c r="D62" s="48"/>
      <c r="E62" s="48"/>
      <c r="F62" s="48"/>
      <c r="G62" s="48"/>
      <c r="H62" s="48"/>
      <c r="I62" s="214">
        <f t="shared" ref="I62:I67" si="15">C62+D62-E62-F62</f>
        <v>0.20932341000000002</v>
      </c>
    </row>
    <row r="63" spans="1:9">
      <c r="A63" s="25">
        <v>15</v>
      </c>
      <c r="B63" s="25" t="s">
        <v>438</v>
      </c>
      <c r="C63" s="212">
        <v>0</v>
      </c>
      <c r="D63" s="48"/>
      <c r="E63" s="48"/>
      <c r="F63" s="48"/>
      <c r="G63" s="48"/>
      <c r="H63" s="48"/>
      <c r="I63" s="214">
        <f t="shared" si="15"/>
        <v>0</v>
      </c>
    </row>
    <row r="64" spans="1:9">
      <c r="A64" s="25">
        <v>16</v>
      </c>
      <c r="B64" s="25" t="s">
        <v>439</v>
      </c>
      <c r="C64" s="212">
        <v>0</v>
      </c>
      <c r="D64" s="48"/>
      <c r="E64" s="48"/>
      <c r="F64" s="48"/>
      <c r="G64" s="48"/>
      <c r="H64" s="48"/>
      <c r="I64" s="214">
        <f t="shared" si="15"/>
        <v>0</v>
      </c>
    </row>
    <row r="65" spans="1:9">
      <c r="A65" s="25">
        <v>17</v>
      </c>
      <c r="B65" s="25" t="s">
        <v>440</v>
      </c>
      <c r="C65" s="212">
        <v>11.432665999999999</v>
      </c>
      <c r="D65" s="48"/>
      <c r="E65" s="48"/>
      <c r="F65" s="48"/>
      <c r="G65" s="48"/>
      <c r="H65" s="48"/>
      <c r="I65" s="214">
        <f t="shared" si="15"/>
        <v>11.432665999999999</v>
      </c>
    </row>
    <row r="66" spans="1:9">
      <c r="A66" s="25">
        <v>18</v>
      </c>
      <c r="B66" s="25" t="s">
        <v>441</v>
      </c>
      <c r="C66" s="212">
        <v>142.52066400000001</v>
      </c>
      <c r="D66" s="48"/>
      <c r="E66" s="48"/>
      <c r="F66" s="48"/>
      <c r="G66" s="48"/>
      <c r="H66" s="48"/>
      <c r="I66" s="214">
        <f t="shared" si="15"/>
        <v>142.52066400000001</v>
      </c>
    </row>
    <row r="67" spans="1:9">
      <c r="A67" s="25">
        <v>19</v>
      </c>
      <c r="B67" s="25" t="s">
        <v>443</v>
      </c>
      <c r="C67" s="212">
        <v>12.313739999999999</v>
      </c>
      <c r="D67" s="48"/>
      <c r="E67" s="48"/>
      <c r="F67" s="48"/>
      <c r="G67" s="48"/>
      <c r="H67" s="48"/>
      <c r="I67" s="214">
        <f t="shared" si="15"/>
        <v>12.313739999999999</v>
      </c>
    </row>
    <row r="68" spans="1:9">
      <c r="B68" s="211" t="s">
        <v>1411</v>
      </c>
      <c r="C68" s="212">
        <f>SUM(C62:C67)</f>
        <v>166.47639341000001</v>
      </c>
      <c r="D68" s="48">
        <f t="shared" ref="D68" si="16">SUM(D62:D67)</f>
        <v>0</v>
      </c>
      <c r="E68" s="48">
        <f t="shared" ref="E68" si="17">SUM(E62:E67)</f>
        <v>0</v>
      </c>
      <c r="F68" s="48">
        <f t="shared" ref="F68" si="18">SUM(F62:F67)</f>
        <v>0</v>
      </c>
      <c r="G68" s="48">
        <f t="shared" ref="G68" si="19">SUM(G62:G67)</f>
        <v>0</v>
      </c>
      <c r="H68" s="48">
        <f t="shared" ref="H68" si="20">SUM(H62:H67)</f>
        <v>0</v>
      </c>
      <c r="I68" s="214">
        <f t="shared" ref="I68" si="21">SUM(I62:I67)</f>
        <v>166.47639341000001</v>
      </c>
    </row>
    <row r="84" spans="1:9">
      <c r="B84" s="28" t="s">
        <v>238</v>
      </c>
      <c r="C84" s="28" t="s">
        <v>192</v>
      </c>
      <c r="D84" s="28" t="s">
        <v>193</v>
      </c>
      <c r="E84" s="28" t="s">
        <v>211</v>
      </c>
      <c r="F84" s="28" t="s">
        <v>212</v>
      </c>
      <c r="G84" s="28" t="s">
        <v>213</v>
      </c>
      <c r="H84" s="28" t="s">
        <v>214</v>
      </c>
      <c r="I84" s="28" t="s">
        <v>215</v>
      </c>
    </row>
    <row r="85" spans="1:9" ht="36.75" customHeight="1">
      <c r="C85" s="28" t="s">
        <v>232</v>
      </c>
    </row>
    <row r="86" spans="1:9" ht="52.8">
      <c r="C86" s="31" t="s">
        <v>1418</v>
      </c>
      <c r="D86" s="33" t="s">
        <v>1419</v>
      </c>
      <c r="E86" s="33" t="s">
        <v>233</v>
      </c>
      <c r="F86" s="33" t="s">
        <v>234</v>
      </c>
      <c r="G86" s="33" t="s">
        <v>235</v>
      </c>
      <c r="H86" s="33" t="s">
        <v>236</v>
      </c>
      <c r="I86" s="31" t="s">
        <v>237</v>
      </c>
    </row>
    <row r="87" spans="1:9">
      <c r="C87" s="34"/>
      <c r="D87" s="210"/>
      <c r="E87" s="210"/>
      <c r="F87" s="210"/>
      <c r="G87" s="210"/>
      <c r="H87" s="210"/>
      <c r="I87" s="34"/>
    </row>
    <row r="88" spans="1:9">
      <c r="B88" s="25" t="s">
        <v>195</v>
      </c>
      <c r="C88" s="34"/>
      <c r="D88" s="210"/>
      <c r="E88" s="210"/>
      <c r="F88" s="210"/>
      <c r="G88" s="210"/>
      <c r="H88" s="210"/>
      <c r="I88" s="34"/>
    </row>
    <row r="89" spans="1:9">
      <c r="B89" s="25" t="s">
        <v>415</v>
      </c>
      <c r="C89" s="34"/>
      <c r="D89" s="210"/>
      <c r="E89" s="210"/>
      <c r="F89" s="210"/>
      <c r="G89" s="210"/>
      <c r="H89" s="210"/>
      <c r="I89" s="34"/>
    </row>
    <row r="90" spans="1:9">
      <c r="A90" s="25">
        <v>1</v>
      </c>
      <c r="B90" s="25" t="s">
        <v>437</v>
      </c>
    </row>
    <row r="91" spans="1:9">
      <c r="A91" s="25">
        <v>2</v>
      </c>
      <c r="B91" s="25" t="s">
        <v>438</v>
      </c>
      <c r="D91" s="48"/>
      <c r="E91" s="48"/>
      <c r="F91" s="48"/>
      <c r="G91" s="48"/>
      <c r="H91" s="48"/>
      <c r="I91" s="48"/>
    </row>
    <row r="92" spans="1:9">
      <c r="A92" s="25">
        <v>3</v>
      </c>
      <c r="B92" s="25" t="s">
        <v>439</v>
      </c>
      <c r="C92" s="48"/>
      <c r="D92" s="48"/>
      <c r="E92" s="48"/>
      <c r="F92" s="48"/>
      <c r="G92" s="48"/>
      <c r="H92" s="48"/>
      <c r="I92" s="48"/>
    </row>
    <row r="93" spans="1:9">
      <c r="A93" s="25">
        <v>4</v>
      </c>
      <c r="B93" s="25" t="s">
        <v>440</v>
      </c>
      <c r="C93" s="48"/>
      <c r="D93" s="48"/>
      <c r="E93" s="48"/>
      <c r="F93" s="48"/>
      <c r="G93" s="48"/>
      <c r="H93" s="48"/>
      <c r="I93" s="48"/>
    </row>
    <row r="94" spans="1:9">
      <c r="A94" s="25">
        <v>5</v>
      </c>
      <c r="B94" s="25" t="s">
        <v>441</v>
      </c>
      <c r="C94" s="48"/>
      <c r="D94" s="48"/>
      <c r="E94" s="48"/>
      <c r="F94" s="48"/>
      <c r="G94" s="48"/>
      <c r="H94" s="48"/>
      <c r="I94" s="48"/>
    </row>
    <row r="95" spans="1:9">
      <c r="A95" s="25">
        <v>6</v>
      </c>
      <c r="B95" s="211" t="s">
        <v>223</v>
      </c>
      <c r="C95" s="48"/>
      <c r="D95" s="48"/>
      <c r="E95" s="48"/>
      <c r="F95" s="48"/>
      <c r="G95" s="48"/>
      <c r="H95" s="48"/>
      <c r="I95" s="48"/>
    </row>
    <row r="96" spans="1:9">
      <c r="A96" s="25">
        <v>7</v>
      </c>
      <c r="B96" s="211" t="s">
        <v>1417</v>
      </c>
      <c r="C96" s="48"/>
      <c r="D96" s="48"/>
      <c r="E96" s="48"/>
      <c r="F96" s="48"/>
      <c r="G96" s="48"/>
      <c r="H96" s="48"/>
      <c r="I96" s="48"/>
    </row>
    <row r="97" spans="1:9">
      <c r="A97" s="25">
        <v>8</v>
      </c>
      <c r="B97" s="25" t="s">
        <v>443</v>
      </c>
      <c r="C97" s="48"/>
      <c r="D97" s="48"/>
      <c r="E97" s="48"/>
      <c r="F97" s="48"/>
      <c r="G97" s="48"/>
      <c r="H97" s="48"/>
      <c r="I97" s="48"/>
    </row>
    <row r="98" spans="1:9">
      <c r="B98" s="211" t="s">
        <v>1411</v>
      </c>
      <c r="C98" s="48">
        <f>SUM(C90:C94,C97)</f>
        <v>0</v>
      </c>
      <c r="D98" s="48">
        <f t="shared" ref="D98" si="22">SUM(D90:D94,D97)</f>
        <v>0</v>
      </c>
      <c r="E98" s="48">
        <f t="shared" ref="E98" si="23">SUM(E90:E94,E97)</f>
        <v>0</v>
      </c>
      <c r="F98" s="48">
        <f t="shared" ref="F98" si="24">SUM(F90:F94,F97)</f>
        <v>0</v>
      </c>
      <c r="G98" s="48">
        <f t="shared" ref="G98" si="25">SUM(G90:G94,G97)</f>
        <v>0</v>
      </c>
      <c r="H98" s="48">
        <f t="shared" ref="H98" si="26">SUM(H90:H94,H97)</f>
        <v>0</v>
      </c>
      <c r="I98" s="48">
        <f t="shared" ref="I98" si="27">SUM(I90:I94,I97)</f>
        <v>0</v>
      </c>
    </row>
    <row r="99" spans="1:9">
      <c r="C99" s="48"/>
      <c r="D99" s="48"/>
      <c r="E99" s="48"/>
      <c r="F99" s="48"/>
      <c r="G99" s="48"/>
      <c r="H99" s="48"/>
      <c r="I99" s="48"/>
    </row>
    <row r="100" spans="1:9">
      <c r="B100" s="25" t="s">
        <v>444</v>
      </c>
      <c r="C100" s="48"/>
      <c r="D100" s="48"/>
      <c r="E100" s="48"/>
      <c r="F100" s="48"/>
      <c r="G100" s="48"/>
      <c r="H100" s="48"/>
      <c r="I100" s="48"/>
    </row>
    <row r="101" spans="1:9">
      <c r="A101" s="25">
        <v>9</v>
      </c>
      <c r="B101" s="25" t="s">
        <v>437</v>
      </c>
      <c r="C101" s="48"/>
      <c r="D101" s="48"/>
      <c r="E101" s="48"/>
      <c r="F101" s="48"/>
      <c r="G101" s="48"/>
      <c r="H101" s="48"/>
      <c r="I101" s="48"/>
    </row>
    <row r="102" spans="1:9">
      <c r="A102" s="25">
        <v>10</v>
      </c>
      <c r="B102" s="25" t="s">
        <v>438</v>
      </c>
      <c r="C102" s="48"/>
      <c r="D102" s="48"/>
      <c r="E102" s="48"/>
      <c r="F102" s="48"/>
      <c r="G102" s="48"/>
      <c r="H102" s="48"/>
      <c r="I102" s="48"/>
    </row>
    <row r="103" spans="1:9">
      <c r="A103" s="25">
        <v>11</v>
      </c>
      <c r="B103" s="25" t="s">
        <v>439</v>
      </c>
      <c r="C103" s="48"/>
      <c r="D103" s="48"/>
      <c r="E103" s="48"/>
      <c r="F103" s="48"/>
      <c r="G103" s="48"/>
      <c r="H103" s="48"/>
      <c r="I103" s="48"/>
    </row>
    <row r="104" spans="1:9">
      <c r="A104" s="25">
        <v>12</v>
      </c>
      <c r="B104" s="25" t="s">
        <v>440</v>
      </c>
      <c r="C104" s="48"/>
      <c r="D104" s="48"/>
      <c r="E104" s="48"/>
      <c r="F104" s="48"/>
      <c r="G104" s="48"/>
      <c r="H104" s="48"/>
      <c r="I104" s="48"/>
    </row>
    <row r="105" spans="1:9">
      <c r="A105" s="25">
        <v>13</v>
      </c>
      <c r="B105" s="25" t="s">
        <v>441</v>
      </c>
      <c r="C105" s="48"/>
      <c r="D105" s="48"/>
      <c r="E105" s="48"/>
      <c r="F105" s="48"/>
      <c r="G105" s="48"/>
      <c r="H105" s="48"/>
      <c r="I105" s="48"/>
    </row>
    <row r="106" spans="1:9">
      <c r="B106" s="211" t="s">
        <v>1411</v>
      </c>
      <c r="C106" s="48">
        <f>SUM(C100:C105)</f>
        <v>0</v>
      </c>
      <c r="D106" s="48">
        <f t="shared" ref="D106" si="28">SUM(D100:D105)</f>
        <v>0</v>
      </c>
      <c r="E106" s="48">
        <f t="shared" ref="E106" si="29">SUM(E100:E105)</f>
        <v>0</v>
      </c>
      <c r="F106" s="48">
        <f t="shared" ref="F106" si="30">SUM(F100:F105)</f>
        <v>0</v>
      </c>
      <c r="G106" s="48">
        <f t="shared" ref="G106" si="31">SUM(G100:G105)</f>
        <v>0</v>
      </c>
      <c r="H106" s="48">
        <f t="shared" ref="H106" si="32">SUM(H100:H105)</f>
        <v>0</v>
      </c>
      <c r="I106" s="48">
        <f t="shared" ref="I106" si="33">SUM(I100:I105)</f>
        <v>0</v>
      </c>
    </row>
    <row r="107" spans="1:9">
      <c r="C107" s="48"/>
      <c r="D107" s="48"/>
      <c r="E107" s="48"/>
      <c r="F107" s="48"/>
      <c r="G107" s="48"/>
      <c r="H107" s="48"/>
      <c r="I107" s="48"/>
    </row>
    <row r="108" spans="1:9">
      <c r="B108" s="25" t="s">
        <v>423</v>
      </c>
      <c r="C108" s="48"/>
      <c r="D108" s="48"/>
      <c r="E108" s="48"/>
      <c r="F108" s="48"/>
      <c r="G108" s="48"/>
      <c r="H108" s="48"/>
      <c r="I108" s="48"/>
    </row>
    <row r="109" spans="1:9">
      <c r="A109" s="25">
        <v>14</v>
      </c>
      <c r="B109" s="25" t="s">
        <v>437</v>
      </c>
      <c r="C109" s="48"/>
      <c r="D109" s="48"/>
      <c r="E109" s="48"/>
      <c r="F109" s="48"/>
      <c r="G109" s="48"/>
      <c r="H109" s="48"/>
      <c r="I109" s="48"/>
    </row>
    <row r="110" spans="1:9">
      <c r="A110" s="25">
        <v>15</v>
      </c>
      <c r="B110" s="25" t="s">
        <v>438</v>
      </c>
      <c r="C110" s="48"/>
      <c r="D110" s="48"/>
      <c r="E110" s="48"/>
      <c r="F110" s="48"/>
      <c r="G110" s="48"/>
      <c r="H110" s="48"/>
      <c r="I110" s="48"/>
    </row>
    <row r="111" spans="1:9">
      <c r="A111" s="25">
        <v>16</v>
      </c>
      <c r="B111" s="25" t="s">
        <v>439</v>
      </c>
      <c r="C111" s="48"/>
      <c r="D111" s="48"/>
      <c r="E111" s="48"/>
      <c r="F111" s="48"/>
      <c r="G111" s="48"/>
      <c r="H111" s="48"/>
      <c r="I111" s="48"/>
    </row>
    <row r="112" spans="1:9">
      <c r="A112" s="25">
        <v>17</v>
      </c>
      <c r="B112" s="25" t="s">
        <v>440</v>
      </c>
      <c r="C112" s="48"/>
      <c r="D112" s="48"/>
      <c r="E112" s="48"/>
      <c r="F112" s="48"/>
      <c r="G112" s="48"/>
      <c r="H112" s="48"/>
      <c r="I112" s="48"/>
    </row>
    <row r="113" spans="1:9">
      <c r="A113" s="25">
        <v>18</v>
      </c>
      <c r="B113" s="25" t="s">
        <v>441</v>
      </c>
      <c r="C113" s="48"/>
      <c r="D113" s="48"/>
      <c r="E113" s="48"/>
      <c r="F113" s="48"/>
      <c r="G113" s="48"/>
      <c r="H113" s="48"/>
      <c r="I113" s="48"/>
    </row>
    <row r="114" spans="1:9">
      <c r="A114" s="25">
        <v>19</v>
      </c>
      <c r="B114" s="25" t="s">
        <v>443</v>
      </c>
      <c r="C114" s="48"/>
      <c r="D114" s="48"/>
      <c r="E114" s="48"/>
      <c r="F114" s="48"/>
      <c r="G114" s="48"/>
      <c r="H114" s="48"/>
      <c r="I114" s="48"/>
    </row>
    <row r="115" spans="1:9">
      <c r="B115" s="211" t="s">
        <v>1411</v>
      </c>
      <c r="C115" s="48">
        <f>SUM(C109:C114)</f>
        <v>0</v>
      </c>
      <c r="D115" s="48">
        <f t="shared" ref="D115" si="34">SUM(D109:D114)</f>
        <v>0</v>
      </c>
      <c r="E115" s="48">
        <f t="shared" ref="E115" si="35">SUM(E109:E114)</f>
        <v>0</v>
      </c>
      <c r="F115" s="48">
        <f t="shared" ref="F115" si="36">SUM(F109:F114)</f>
        <v>0</v>
      </c>
      <c r="G115" s="48">
        <f t="shared" ref="G115" si="37">SUM(G109:G114)</f>
        <v>0</v>
      </c>
      <c r="H115" s="48">
        <f t="shared" ref="H115" si="38">SUM(H109:H114)</f>
        <v>0</v>
      </c>
      <c r="I115" s="48">
        <f t="shared" ref="I115" si="39">SUM(I109:I114)</f>
        <v>0</v>
      </c>
    </row>
    <row r="116" spans="1:9">
      <c r="C116" s="48"/>
      <c r="D116" s="48"/>
      <c r="E116" s="48"/>
      <c r="F116" s="48"/>
      <c r="G116" s="48"/>
      <c r="H116" s="48"/>
      <c r="I116" s="48"/>
    </row>
    <row r="117" spans="1:9">
      <c r="C117" s="48"/>
      <c r="D117" s="48"/>
      <c r="E117" s="48"/>
      <c r="F117" s="48"/>
      <c r="G117" s="48"/>
      <c r="H117" s="48"/>
      <c r="I117" s="48"/>
    </row>
    <row r="118" spans="1:9">
      <c r="C118" s="48"/>
      <c r="D118" s="48"/>
      <c r="E118" s="48"/>
      <c r="F118" s="48"/>
      <c r="G118" s="48"/>
      <c r="H118" s="48"/>
      <c r="I118" s="48"/>
    </row>
    <row r="119" spans="1:9">
      <c r="B119" s="25" t="s">
        <v>201</v>
      </c>
      <c r="C119" s="48"/>
      <c r="D119" s="48"/>
      <c r="E119" s="48"/>
      <c r="F119" s="48"/>
      <c r="G119" s="48"/>
      <c r="H119" s="48"/>
      <c r="I119" s="48"/>
    </row>
    <row r="120" spans="1:9">
      <c r="B120" s="25" t="s">
        <v>415</v>
      </c>
      <c r="C120" s="34"/>
      <c r="D120" s="210"/>
      <c r="E120" s="210"/>
      <c r="F120" s="210"/>
      <c r="G120" s="210"/>
      <c r="H120" s="210"/>
      <c r="I120" s="34"/>
    </row>
    <row r="121" spans="1:9">
      <c r="A121" s="25">
        <v>1</v>
      </c>
      <c r="B121" s="25" t="s">
        <v>437</v>
      </c>
      <c r="C121" s="212">
        <v>639.86240499999997</v>
      </c>
      <c r="D121" s="212"/>
      <c r="F121" s="212"/>
      <c r="I121" s="213">
        <f t="shared" ref="I121:I128" si="40">C121+D121-E121-F121</f>
        <v>639.86240499999997</v>
      </c>
    </row>
    <row r="122" spans="1:9">
      <c r="A122" s="25">
        <v>2</v>
      </c>
      <c r="B122" s="25" t="s">
        <v>438</v>
      </c>
      <c r="C122" s="212"/>
      <c r="D122" s="212"/>
      <c r="E122" s="48"/>
      <c r="F122" s="212"/>
      <c r="G122" s="48"/>
      <c r="H122" s="48"/>
      <c r="I122" s="213">
        <f t="shared" si="40"/>
        <v>0</v>
      </c>
    </row>
    <row r="123" spans="1:9">
      <c r="A123" s="25">
        <v>3</v>
      </c>
      <c r="B123" s="25" t="s">
        <v>439</v>
      </c>
      <c r="C123" s="212">
        <v>69.412746720000001</v>
      </c>
      <c r="D123" s="212"/>
      <c r="E123" s="48"/>
      <c r="F123" s="212"/>
      <c r="G123" s="48"/>
      <c r="H123" s="48"/>
      <c r="I123" s="213">
        <f t="shared" si="40"/>
        <v>69.412746720000001</v>
      </c>
    </row>
    <row r="124" spans="1:9">
      <c r="A124" s="25">
        <v>4</v>
      </c>
      <c r="B124" s="25" t="s">
        <v>440</v>
      </c>
      <c r="C124" s="212">
        <v>50.294788313484979</v>
      </c>
      <c r="D124" s="212">
        <v>3.4154596800000001</v>
      </c>
      <c r="E124" s="48"/>
      <c r="F124" s="212">
        <v>0.14200001748699995</v>
      </c>
      <c r="G124" s="48"/>
      <c r="H124" s="48"/>
      <c r="I124" s="213">
        <f t="shared" si="40"/>
        <v>53.568247975997977</v>
      </c>
    </row>
    <row r="125" spans="1:9">
      <c r="A125" s="25">
        <v>5</v>
      </c>
      <c r="B125" s="25" t="s">
        <v>441</v>
      </c>
      <c r="C125" s="212">
        <v>618.63433354697725</v>
      </c>
      <c r="D125" s="212">
        <v>9.3790839500000001</v>
      </c>
      <c r="E125" s="48"/>
      <c r="F125" s="212">
        <v>9.3551225938670068</v>
      </c>
      <c r="G125" s="48"/>
      <c r="H125" s="48"/>
      <c r="I125" s="213">
        <f t="shared" si="40"/>
        <v>618.65829490311023</v>
      </c>
    </row>
    <row r="126" spans="1:9">
      <c r="A126" s="25">
        <v>6</v>
      </c>
      <c r="B126" s="211" t="s">
        <v>223</v>
      </c>
      <c r="C126" s="212">
        <v>491.90094513000082</v>
      </c>
      <c r="D126" s="212">
        <v>9.1937587799999996</v>
      </c>
      <c r="E126" s="48"/>
      <c r="F126" s="212"/>
      <c r="G126" s="48"/>
      <c r="H126" s="48"/>
      <c r="I126" s="213">
        <f t="shared" si="40"/>
        <v>501.09470391000082</v>
      </c>
    </row>
    <row r="127" spans="1:9">
      <c r="A127" s="25">
        <v>7</v>
      </c>
      <c r="B127" s="211" t="s">
        <v>1417</v>
      </c>
      <c r="C127" s="212">
        <v>618.63433354697725</v>
      </c>
      <c r="D127" s="212">
        <v>9.3790839500000001</v>
      </c>
      <c r="E127" s="48"/>
      <c r="F127" s="212">
        <v>9.3551225938670068</v>
      </c>
      <c r="G127" s="48"/>
      <c r="H127" s="48"/>
      <c r="I127" s="213">
        <f t="shared" si="40"/>
        <v>618.65829490311023</v>
      </c>
    </row>
    <row r="128" spans="1:9">
      <c r="A128" s="25">
        <v>8</v>
      </c>
      <c r="B128" s="25" t="s">
        <v>443</v>
      </c>
      <c r="C128" s="212">
        <v>214.64699194194131</v>
      </c>
      <c r="D128" s="212">
        <v>0.30476094759730271</v>
      </c>
      <c r="E128" s="48"/>
      <c r="F128" s="212">
        <v>0.77899531864600069</v>
      </c>
      <c r="G128" s="48"/>
      <c r="H128" s="48"/>
      <c r="I128" s="213">
        <f t="shared" si="40"/>
        <v>214.17275757089263</v>
      </c>
    </row>
    <row r="129" spans="1:9">
      <c r="B129" s="211" t="s">
        <v>1411</v>
      </c>
      <c r="C129" s="212">
        <f>SUM(C121:C125,C128)</f>
        <v>1592.8512655224033</v>
      </c>
      <c r="D129" s="212">
        <f t="shared" ref="D129" si="41">SUM(D121:D125,D128)</f>
        <v>13.099304577597302</v>
      </c>
      <c r="E129" s="48">
        <f t="shared" ref="E129" si="42">SUM(E121:E125,E128)</f>
        <v>0</v>
      </c>
      <c r="F129" s="212">
        <f t="shared" ref="F129" si="43">SUM(F121:F125,F128)</f>
        <v>10.276117930000007</v>
      </c>
      <c r="G129" s="48">
        <f t="shared" ref="G129" si="44">SUM(G121:G125,G128)</f>
        <v>0</v>
      </c>
      <c r="H129" s="48">
        <f t="shared" ref="H129" si="45">SUM(H121:H125,H128)</f>
        <v>0</v>
      </c>
      <c r="I129" s="212">
        <f t="shared" ref="I129" si="46">SUM(I121:I125,I128)</f>
        <v>1595.6744521700009</v>
      </c>
    </row>
    <row r="130" spans="1:9">
      <c r="C130" s="48"/>
      <c r="D130" s="48"/>
      <c r="E130" s="48"/>
      <c r="F130" s="48"/>
      <c r="G130" s="48"/>
      <c r="H130" s="48"/>
      <c r="I130" s="48"/>
    </row>
    <row r="131" spans="1:9">
      <c r="B131" s="25" t="s">
        <v>444</v>
      </c>
      <c r="C131" s="48"/>
      <c r="D131" s="48"/>
      <c r="E131" s="48"/>
      <c r="F131" s="48"/>
      <c r="G131" s="48"/>
      <c r="H131" s="48"/>
      <c r="I131" s="48"/>
    </row>
    <row r="132" spans="1:9">
      <c r="A132" s="25">
        <v>9</v>
      </c>
      <c r="B132" s="25" t="s">
        <v>437</v>
      </c>
      <c r="C132" s="212">
        <v>0</v>
      </c>
      <c r="D132" s="48"/>
      <c r="E132" s="48"/>
      <c r="F132" s="48"/>
      <c r="G132" s="48"/>
      <c r="H132" s="48"/>
      <c r="I132" s="48">
        <f t="shared" ref="I132:I136" si="47">C132+D132-E132-F132</f>
        <v>0</v>
      </c>
    </row>
    <row r="133" spans="1:9">
      <c r="A133" s="25">
        <v>10</v>
      </c>
      <c r="B133" s="25" t="s">
        <v>438</v>
      </c>
      <c r="C133" s="212">
        <v>19.235030699999999</v>
      </c>
      <c r="D133" s="48"/>
      <c r="E133" s="48"/>
      <c r="F133" s="48"/>
      <c r="G133" s="48"/>
      <c r="H133" s="48"/>
      <c r="I133" s="48">
        <f t="shared" si="47"/>
        <v>19.235030699999999</v>
      </c>
    </row>
    <row r="134" spans="1:9">
      <c r="A134" s="25">
        <v>11</v>
      </c>
      <c r="B134" s="25" t="s">
        <v>439</v>
      </c>
      <c r="C134" s="212">
        <v>19.4615793</v>
      </c>
      <c r="D134" s="48"/>
      <c r="E134" s="48"/>
      <c r="F134" s="48"/>
      <c r="G134" s="48"/>
      <c r="H134" s="48"/>
      <c r="I134" s="48">
        <f t="shared" si="47"/>
        <v>19.4615793</v>
      </c>
    </row>
    <row r="135" spans="1:9">
      <c r="A135" s="25">
        <v>12</v>
      </c>
      <c r="B135" s="25" t="s">
        <v>440</v>
      </c>
      <c r="C135" s="212">
        <v>0</v>
      </c>
      <c r="D135" s="48"/>
      <c r="E135" s="48"/>
      <c r="F135" s="48"/>
      <c r="G135" s="48"/>
      <c r="H135" s="48"/>
      <c r="I135" s="48">
        <f t="shared" si="47"/>
        <v>0</v>
      </c>
    </row>
    <row r="136" spans="1:9">
      <c r="A136" s="25">
        <v>13</v>
      </c>
      <c r="B136" s="25" t="s">
        <v>441</v>
      </c>
      <c r="C136" s="212">
        <v>0.29761900000000002</v>
      </c>
      <c r="D136" s="48"/>
      <c r="E136" s="48"/>
      <c r="F136" s="48"/>
      <c r="G136" s="48"/>
      <c r="H136" s="48"/>
      <c r="I136" s="48">
        <f t="shared" si="47"/>
        <v>0.29761900000000002</v>
      </c>
    </row>
    <row r="137" spans="1:9">
      <c r="B137" s="211" t="s">
        <v>1411</v>
      </c>
      <c r="C137" s="212">
        <f>SUM(C131:C136)</f>
        <v>38.994228999999997</v>
      </c>
      <c r="D137" s="48">
        <f t="shared" ref="D137" si="48">SUM(D131:D136)</f>
        <v>0</v>
      </c>
      <c r="E137" s="48">
        <f t="shared" ref="E137" si="49">SUM(E131:E136)</f>
        <v>0</v>
      </c>
      <c r="F137" s="48">
        <f t="shared" ref="F137" si="50">SUM(F131:F136)</f>
        <v>0</v>
      </c>
      <c r="G137" s="48">
        <f t="shared" ref="G137" si="51">SUM(G131:G136)</f>
        <v>0</v>
      </c>
      <c r="H137" s="48">
        <f t="shared" ref="H137" si="52">SUM(H131:H136)</f>
        <v>0</v>
      </c>
      <c r="I137" s="48">
        <f t="shared" ref="I137" si="53">SUM(I131:I136)</f>
        <v>38.994228999999997</v>
      </c>
    </row>
    <row r="138" spans="1:9">
      <c r="C138" s="48"/>
      <c r="D138" s="48"/>
      <c r="E138" s="48"/>
      <c r="F138" s="48"/>
      <c r="G138" s="48"/>
      <c r="H138" s="48"/>
      <c r="I138" s="48"/>
    </row>
    <row r="139" spans="1:9">
      <c r="B139" s="25" t="s">
        <v>423</v>
      </c>
      <c r="C139" s="48"/>
      <c r="D139" s="48"/>
      <c r="E139" s="48"/>
      <c r="F139" s="48"/>
      <c r="G139" s="48"/>
      <c r="H139" s="48"/>
      <c r="I139" s="48"/>
    </row>
    <row r="140" spans="1:9">
      <c r="A140" s="25">
        <v>14</v>
      </c>
      <c r="B140" s="25" t="s">
        <v>437</v>
      </c>
      <c r="C140" s="212">
        <v>0.26611404999999999</v>
      </c>
      <c r="D140" s="48"/>
      <c r="E140" s="48"/>
      <c r="F140" s="48"/>
      <c r="G140" s="48"/>
      <c r="H140" s="48"/>
      <c r="I140" s="48">
        <f t="shared" ref="I140:I145" si="54">C140+D140-E140-F140</f>
        <v>0.26611404999999999</v>
      </c>
    </row>
    <row r="141" spans="1:9">
      <c r="A141" s="25">
        <v>15</v>
      </c>
      <c r="B141" s="25" t="s">
        <v>438</v>
      </c>
      <c r="C141" s="212">
        <v>0</v>
      </c>
      <c r="D141" s="48"/>
      <c r="E141" s="48"/>
      <c r="F141" s="48"/>
      <c r="G141" s="48"/>
      <c r="H141" s="48"/>
      <c r="I141" s="48">
        <f t="shared" si="54"/>
        <v>0</v>
      </c>
    </row>
    <row r="142" spans="1:9">
      <c r="A142" s="25">
        <v>16</v>
      </c>
      <c r="B142" s="25" t="s">
        <v>439</v>
      </c>
      <c r="C142" s="212">
        <v>0.79459307999999995</v>
      </c>
      <c r="D142" s="48"/>
      <c r="E142" s="48"/>
      <c r="F142" s="48"/>
      <c r="G142" s="48"/>
      <c r="H142" s="48"/>
      <c r="I142" s="48">
        <f t="shared" si="54"/>
        <v>0.79459307999999995</v>
      </c>
    </row>
    <row r="143" spans="1:9">
      <c r="A143" s="25">
        <v>17</v>
      </c>
      <c r="B143" s="25" t="s">
        <v>440</v>
      </c>
      <c r="C143" s="212">
        <v>26.788189110000001</v>
      </c>
      <c r="D143" s="48"/>
      <c r="E143" s="48"/>
      <c r="F143" s="48"/>
      <c r="G143" s="48"/>
      <c r="H143" s="48"/>
      <c r="I143" s="48">
        <f t="shared" si="54"/>
        <v>26.788189110000001</v>
      </c>
    </row>
    <row r="144" spans="1:9">
      <c r="A144" s="25">
        <v>18</v>
      </c>
      <c r="B144" s="25" t="s">
        <v>441</v>
      </c>
      <c r="C144" s="212">
        <v>222.04402565000001</v>
      </c>
      <c r="D144" s="48"/>
      <c r="E144" s="48"/>
      <c r="F144" s="48"/>
      <c r="G144" s="48"/>
      <c r="H144" s="48"/>
      <c r="I144" s="48">
        <f t="shared" si="54"/>
        <v>222.04402565000001</v>
      </c>
    </row>
    <row r="145" spans="1:9">
      <c r="A145" s="25">
        <v>19</v>
      </c>
      <c r="B145" s="25" t="s">
        <v>443</v>
      </c>
      <c r="C145" s="212">
        <v>34.310625760000001</v>
      </c>
      <c r="D145" s="48"/>
      <c r="E145" s="48"/>
      <c r="F145" s="48"/>
      <c r="G145" s="48"/>
      <c r="H145" s="48"/>
      <c r="I145" s="48">
        <f t="shared" si="54"/>
        <v>34.310625760000001</v>
      </c>
    </row>
    <row r="146" spans="1:9">
      <c r="B146" s="211" t="s">
        <v>1411</v>
      </c>
      <c r="C146" s="212">
        <f>SUM(C140:C145)</f>
        <v>284.20354765000002</v>
      </c>
      <c r="D146" s="48">
        <f t="shared" ref="D146" si="55">SUM(D140:D145)</f>
        <v>0</v>
      </c>
      <c r="E146" s="48">
        <f t="shared" ref="E146" si="56">SUM(E140:E145)</f>
        <v>0</v>
      </c>
      <c r="F146" s="48">
        <f t="shared" ref="F146" si="57">SUM(F140:F145)</f>
        <v>0</v>
      </c>
      <c r="G146" s="48">
        <f t="shared" ref="G146" si="58">SUM(G140:G145)</f>
        <v>0</v>
      </c>
      <c r="H146" s="48">
        <f t="shared" ref="H146" si="59">SUM(H140:H145)</f>
        <v>0</v>
      </c>
      <c r="I146" s="48">
        <f t="shared" ref="I146" si="60">SUM(I140:I145)</f>
        <v>284.20354765000002</v>
      </c>
    </row>
  </sheetData>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opLeftCell="A31" workbookViewId="0">
      <selection activeCell="B41" sqref="B41"/>
    </sheetView>
  </sheetViews>
  <sheetFormatPr defaultColWidth="9.109375" defaultRowHeight="13.2"/>
  <cols>
    <col min="1" max="1" width="40.88671875" style="25" customWidth="1"/>
    <col min="2" max="2" width="18" style="25" customWidth="1"/>
    <col min="3" max="3" width="21.33203125" style="25" customWidth="1"/>
    <col min="4" max="4" width="17.88671875" style="25" customWidth="1"/>
    <col min="5" max="5" width="11.6640625" style="25" customWidth="1"/>
    <col min="6" max="6" width="27.33203125" style="25" customWidth="1"/>
    <col min="7" max="7" width="17.44140625" style="25" customWidth="1"/>
    <col min="8" max="8" width="12.6640625" style="25" bestFit="1" customWidth="1"/>
    <col min="9" max="16384" width="9.109375" style="25"/>
  </cols>
  <sheetData>
    <row r="1" spans="1:8">
      <c r="A1" s="29" t="s">
        <v>240</v>
      </c>
    </row>
    <row r="5" spans="1:8">
      <c r="A5" s="28" t="s">
        <v>172</v>
      </c>
      <c r="B5" s="32" t="s">
        <v>192</v>
      </c>
      <c r="C5" s="32" t="s">
        <v>193</v>
      </c>
      <c r="D5" s="32" t="s">
        <v>211</v>
      </c>
      <c r="E5" s="32" t="s">
        <v>212</v>
      </c>
      <c r="F5" s="32" t="s">
        <v>213</v>
      </c>
      <c r="G5" s="32" t="s">
        <v>214</v>
      </c>
      <c r="H5" s="32" t="s">
        <v>215</v>
      </c>
    </row>
    <row r="6" spans="1:8">
      <c r="B6" s="28" t="s">
        <v>1421</v>
      </c>
    </row>
    <row r="7" spans="1:8" ht="37.5" customHeight="1">
      <c r="A7" s="31" t="s">
        <v>123</v>
      </c>
      <c r="B7" s="31"/>
      <c r="C7" s="33" t="s">
        <v>1422</v>
      </c>
      <c r="D7" s="33" t="s">
        <v>1423</v>
      </c>
      <c r="E7" s="33" t="s">
        <v>1424</v>
      </c>
      <c r="F7" s="33" t="s">
        <v>235</v>
      </c>
      <c r="G7" s="33" t="s">
        <v>236</v>
      </c>
      <c r="H7" s="31" t="s">
        <v>237</v>
      </c>
    </row>
    <row r="8" spans="1:8">
      <c r="A8" s="34" t="s">
        <v>201</v>
      </c>
      <c r="B8" s="34"/>
      <c r="C8" s="34"/>
      <c r="D8" s="34"/>
      <c r="E8" s="34"/>
      <c r="F8" s="34"/>
      <c r="G8" s="34"/>
      <c r="H8" s="34"/>
    </row>
    <row r="9" spans="1:8">
      <c r="A9" s="25" t="s">
        <v>1385</v>
      </c>
      <c r="B9" s="212">
        <v>59.657475982988515</v>
      </c>
      <c r="C9" s="212">
        <v>59.657475982988515</v>
      </c>
      <c r="D9" s="212">
        <v>0.4666493599999999</v>
      </c>
      <c r="E9" s="212">
        <v>0.14006732999999999</v>
      </c>
      <c r="F9" s="212"/>
      <c r="G9" s="212"/>
      <c r="H9" s="212">
        <f>B9-E9</f>
        <v>59.517408652988514</v>
      </c>
    </row>
    <row r="10" spans="1:8">
      <c r="A10" s="25" t="s">
        <v>1386</v>
      </c>
      <c r="B10" s="212">
        <v>1.2677515414036391</v>
      </c>
      <c r="C10" s="212">
        <v>1.2677515414036391</v>
      </c>
      <c r="D10" s="212"/>
      <c r="E10" s="212">
        <v>1.05076E-3</v>
      </c>
      <c r="F10" s="212"/>
      <c r="G10" s="212"/>
      <c r="H10" s="212">
        <f t="shared" ref="H10:H27" si="0">B10-E10</f>
        <v>1.2667007814036391</v>
      </c>
    </row>
    <row r="11" spans="1:8">
      <c r="A11" s="25" t="s">
        <v>1387</v>
      </c>
      <c r="B11" s="212">
        <v>114.10440002541267</v>
      </c>
      <c r="C11" s="212">
        <v>114.10440002541267</v>
      </c>
      <c r="D11" s="212">
        <v>1.42231833</v>
      </c>
      <c r="E11" s="212">
        <v>0.72398461999999997</v>
      </c>
      <c r="F11" s="212"/>
      <c r="G11" s="212"/>
      <c r="H11" s="212">
        <f t="shared" si="0"/>
        <v>113.38041540541268</v>
      </c>
    </row>
    <row r="12" spans="1:8">
      <c r="A12" s="25" t="s">
        <v>1388</v>
      </c>
      <c r="B12" s="212">
        <v>15.071785912726421</v>
      </c>
      <c r="C12" s="212">
        <v>15.071785912726421</v>
      </c>
      <c r="D12" s="212"/>
      <c r="E12" s="212">
        <v>7.7211349999999998E-2</v>
      </c>
      <c r="F12" s="212"/>
      <c r="G12" s="212"/>
      <c r="H12" s="212">
        <f t="shared" si="0"/>
        <v>14.99457456272642</v>
      </c>
    </row>
    <row r="13" spans="1:8">
      <c r="A13" s="25" t="s">
        <v>1389</v>
      </c>
      <c r="B13" s="212">
        <v>0.79062360540102639</v>
      </c>
      <c r="C13" s="212">
        <v>0.79062360540102639</v>
      </c>
      <c r="D13" s="212">
        <v>0.15648958999999998</v>
      </c>
      <c r="E13" s="212">
        <v>3.2377400000000002E-3</v>
      </c>
      <c r="F13" s="212"/>
      <c r="G13" s="212"/>
      <c r="H13" s="212">
        <f t="shared" si="0"/>
        <v>0.7873858654010264</v>
      </c>
    </row>
    <row r="14" spans="1:8">
      <c r="A14" s="25" t="s">
        <v>1390</v>
      </c>
      <c r="B14" s="212">
        <v>38.950623770579838</v>
      </c>
      <c r="C14" s="212">
        <v>38.950623770579838</v>
      </c>
      <c r="D14" s="212">
        <v>0.53297525000000012</v>
      </c>
      <c r="E14" s="212">
        <v>8.2053260000000031E-2</v>
      </c>
      <c r="F14" s="212"/>
      <c r="G14" s="212"/>
      <c r="H14" s="212">
        <f t="shared" si="0"/>
        <v>38.868570510579836</v>
      </c>
    </row>
    <row r="15" spans="1:8">
      <c r="A15" s="25" t="s">
        <v>1391</v>
      </c>
      <c r="B15" s="212">
        <v>80.766737242176376</v>
      </c>
      <c r="C15" s="212">
        <v>80.766737242176376</v>
      </c>
      <c r="D15" s="212">
        <v>0.76617513999999998</v>
      </c>
      <c r="E15" s="212">
        <v>0.50372908000000027</v>
      </c>
      <c r="F15" s="212"/>
      <c r="G15" s="212"/>
      <c r="H15" s="212">
        <f t="shared" si="0"/>
        <v>80.263008162176376</v>
      </c>
    </row>
    <row r="16" spans="1:8">
      <c r="A16" s="25" t="s">
        <v>1392</v>
      </c>
      <c r="B16" s="212">
        <v>15.336609129822264</v>
      </c>
      <c r="C16" s="212">
        <v>15.336609129822264</v>
      </c>
      <c r="D16" s="212">
        <v>1.0987236700000003</v>
      </c>
      <c r="E16" s="212">
        <v>3.3424390000000005E-2</v>
      </c>
      <c r="F16" s="212"/>
      <c r="G16" s="212"/>
      <c r="H16" s="212">
        <f t="shared" si="0"/>
        <v>15.303184739822264</v>
      </c>
    </row>
    <row r="17" spans="1:8">
      <c r="A17" s="25" t="s">
        <v>1393</v>
      </c>
      <c r="B17" s="212">
        <v>14.079677466708771</v>
      </c>
      <c r="C17" s="212">
        <v>14.079677466708771</v>
      </c>
      <c r="D17" s="212">
        <v>1.9282220000000003E-2</v>
      </c>
      <c r="E17" s="212">
        <v>6.6472770000000014E-2</v>
      </c>
      <c r="F17" s="212"/>
      <c r="G17" s="212"/>
      <c r="H17" s="212">
        <f t="shared" si="0"/>
        <v>14.013204696708771</v>
      </c>
    </row>
    <row r="18" spans="1:8">
      <c r="A18" s="25" t="s">
        <v>1394</v>
      </c>
      <c r="B18" s="212">
        <v>7.0179607779276871</v>
      </c>
      <c r="C18" s="212">
        <v>7.0179607779276871</v>
      </c>
      <c r="D18" s="212">
        <v>0.30873364519054797</v>
      </c>
      <c r="E18" s="212">
        <v>1.6737289999999991E-2</v>
      </c>
      <c r="F18" s="212"/>
      <c r="G18" s="212"/>
      <c r="H18" s="212">
        <f t="shared" si="0"/>
        <v>7.0012234879276871</v>
      </c>
    </row>
    <row r="19" spans="1:8">
      <c r="A19" s="25" t="s">
        <v>1395</v>
      </c>
      <c r="B19" s="212"/>
      <c r="C19" s="212"/>
      <c r="D19" s="212"/>
      <c r="E19" s="212"/>
      <c r="F19" s="212"/>
      <c r="G19" s="212"/>
      <c r="H19" s="212">
        <f t="shared" si="0"/>
        <v>0</v>
      </c>
    </row>
    <row r="20" spans="1:8">
      <c r="A20" s="25" t="s">
        <v>1396</v>
      </c>
      <c r="B20" s="212">
        <v>353.40461338537352</v>
      </c>
      <c r="C20" s="212">
        <v>353.40461338537352</v>
      </c>
      <c r="D20" s="212">
        <v>1.1642513400000001</v>
      </c>
      <c r="E20" s="212">
        <v>0.7166221300000003</v>
      </c>
      <c r="F20" s="212"/>
      <c r="G20" s="212"/>
      <c r="H20" s="212">
        <f t="shared" si="0"/>
        <v>352.6879912553735</v>
      </c>
    </row>
    <row r="21" spans="1:8">
      <c r="A21" s="25" t="s">
        <v>1397</v>
      </c>
      <c r="B21" s="212">
        <v>47.368141314329669</v>
      </c>
      <c r="C21" s="212">
        <v>47.368141314329669</v>
      </c>
      <c r="D21" s="212">
        <v>0.3492110799999999</v>
      </c>
      <c r="E21" s="212">
        <v>0.22869691999999991</v>
      </c>
      <c r="F21" s="212"/>
      <c r="G21" s="212"/>
      <c r="H21" s="212">
        <f t="shared" si="0"/>
        <v>47.139444394329672</v>
      </c>
    </row>
    <row r="22" spans="1:8">
      <c r="A22" s="25" t="s">
        <v>1398</v>
      </c>
      <c r="B22" s="212">
        <v>67.063727620270228</v>
      </c>
      <c r="C22" s="212">
        <v>67.063727620270228</v>
      </c>
      <c r="D22" s="212">
        <v>1.9327092800000001</v>
      </c>
      <c r="E22" s="212">
        <v>0.12299202999999997</v>
      </c>
      <c r="F22" s="212"/>
      <c r="G22" s="212"/>
      <c r="H22" s="212">
        <f t="shared" si="0"/>
        <v>66.940735590270222</v>
      </c>
    </row>
    <row r="23" spans="1:8">
      <c r="A23" s="25" t="s">
        <v>1399</v>
      </c>
      <c r="B23" s="212">
        <v>4.5384000000000006E-3</v>
      </c>
      <c r="C23" s="212">
        <v>4.5384000000000006E-3</v>
      </c>
      <c r="D23" s="212"/>
      <c r="E23" s="212"/>
      <c r="F23" s="212"/>
      <c r="G23" s="212"/>
      <c r="H23" s="212">
        <f t="shared" si="0"/>
        <v>4.5384000000000006E-3</v>
      </c>
    </row>
    <row r="24" spans="1:8">
      <c r="A24" s="25" t="s">
        <v>1400</v>
      </c>
      <c r="B24" s="212">
        <v>1.966233307434671</v>
      </c>
      <c r="C24" s="212">
        <v>1.966233307434671</v>
      </c>
      <c r="D24" s="212">
        <v>8.8997399999999997E-3</v>
      </c>
      <c r="E24" s="212">
        <v>1.9478999999999997E-4</v>
      </c>
      <c r="F24" s="212"/>
      <c r="G24" s="212"/>
      <c r="H24" s="212">
        <f t="shared" si="0"/>
        <v>1.9660385174346711</v>
      </c>
    </row>
    <row r="25" spans="1:8">
      <c r="A25" s="25" t="s">
        <v>1401</v>
      </c>
      <c r="B25" s="212">
        <v>16.334542612562164</v>
      </c>
      <c r="C25" s="212">
        <v>16.334542612562164</v>
      </c>
      <c r="D25" s="212">
        <v>0.11690244128558888</v>
      </c>
      <c r="E25" s="212">
        <v>0.10580229999999996</v>
      </c>
      <c r="F25" s="212"/>
      <c r="G25" s="212"/>
      <c r="H25" s="212">
        <f t="shared" si="0"/>
        <v>16.228740312562163</v>
      </c>
    </row>
    <row r="26" spans="1:8">
      <c r="A26" s="25" t="s">
        <v>1402</v>
      </c>
      <c r="B26" s="212">
        <v>42.184688085723735</v>
      </c>
      <c r="C26" s="212">
        <v>42.184688085723735</v>
      </c>
      <c r="D26" s="212">
        <v>3.7745159999999993E-2</v>
      </c>
      <c r="E26" s="212">
        <v>0.68904795999999979</v>
      </c>
      <c r="F26" s="212"/>
      <c r="G26" s="212"/>
      <c r="H26" s="212">
        <f t="shared" si="0"/>
        <v>41.495640125723739</v>
      </c>
    </row>
    <row r="27" spans="1:8">
      <c r="A27" s="25" t="s">
        <v>1403</v>
      </c>
      <c r="B27" s="212">
        <v>7.2898490038365944</v>
      </c>
      <c r="C27" s="212">
        <v>7.2898490038365944</v>
      </c>
      <c r="D27" s="212">
        <v>5.3465309999999995E-2</v>
      </c>
      <c r="E27" s="212">
        <v>1.7332869999999997E-2</v>
      </c>
      <c r="F27" s="212"/>
      <c r="G27" s="212"/>
      <c r="H27" s="212">
        <f t="shared" si="0"/>
        <v>7.2725161338365947</v>
      </c>
    </row>
    <row r="28" spans="1:8">
      <c r="A28" s="25" t="s">
        <v>209</v>
      </c>
      <c r="B28" s="212">
        <f>SUM(B9:B27)</f>
        <v>882.65997918467781</v>
      </c>
      <c r="C28" s="212">
        <f t="shared" ref="C28:E28" si="1">SUM(C9:C27)</f>
        <v>882.65997918467781</v>
      </c>
      <c r="D28" s="212">
        <f t="shared" si="1"/>
        <v>8.4345315564761378</v>
      </c>
      <c r="E28" s="212">
        <f t="shared" si="1"/>
        <v>3.5286575900000008</v>
      </c>
      <c r="F28" s="212">
        <f t="shared" ref="F28" si="2">SUM(F9:F27)</f>
        <v>0</v>
      </c>
      <c r="G28" s="212">
        <f t="shared" ref="G28" si="3">SUM(G9:G27)</f>
        <v>0</v>
      </c>
      <c r="H28" s="212">
        <f t="shared" ref="H28" si="4">SUM(H9:H27)</f>
        <v>879.13132159467784</v>
      </c>
    </row>
    <row r="31" spans="1:8">
      <c r="A31" s="28" t="s">
        <v>173</v>
      </c>
      <c r="B31" s="32" t="s">
        <v>192</v>
      </c>
      <c r="C31" s="32" t="s">
        <v>193</v>
      </c>
      <c r="D31" s="32" t="s">
        <v>211</v>
      </c>
      <c r="E31" s="32" t="s">
        <v>212</v>
      </c>
      <c r="F31" s="32" t="s">
        <v>213</v>
      </c>
      <c r="G31" s="32" t="s">
        <v>214</v>
      </c>
      <c r="H31" s="32" t="s">
        <v>215</v>
      </c>
    </row>
    <row r="32" spans="1:8">
      <c r="B32" s="28" t="s">
        <v>1421</v>
      </c>
    </row>
    <row r="33" spans="1:8" ht="39.6">
      <c r="A33" s="31" t="s">
        <v>123</v>
      </c>
      <c r="B33" s="31"/>
      <c r="C33" s="33" t="s">
        <v>1422</v>
      </c>
      <c r="D33" s="33" t="s">
        <v>1423</v>
      </c>
      <c r="E33" s="33" t="s">
        <v>1424</v>
      </c>
      <c r="F33" s="33" t="s">
        <v>235</v>
      </c>
      <c r="G33" s="33" t="s">
        <v>236</v>
      </c>
      <c r="H33" s="31" t="s">
        <v>237</v>
      </c>
    </row>
    <row r="34" spans="1:8">
      <c r="A34" s="34" t="s">
        <v>201</v>
      </c>
      <c r="B34" s="34"/>
      <c r="C34" s="34"/>
      <c r="D34" s="34"/>
      <c r="E34" s="34"/>
      <c r="F34" s="34"/>
      <c r="G34" s="34"/>
      <c r="H34" s="34"/>
    </row>
    <row r="35" spans="1:8">
      <c r="A35" s="25" t="s">
        <v>1385</v>
      </c>
      <c r="B35" s="212">
        <v>20.230580556934949</v>
      </c>
      <c r="C35" s="212">
        <v>20.230580556934949</v>
      </c>
      <c r="D35" s="212">
        <v>6.1581379999999998E-2</v>
      </c>
      <c r="E35" s="212">
        <v>0.12390568903999999</v>
      </c>
      <c r="F35" s="212"/>
      <c r="G35" s="212"/>
      <c r="H35" s="212">
        <f>B35-E35</f>
        <v>20.106674867894949</v>
      </c>
    </row>
    <row r="36" spans="1:8">
      <c r="A36" s="25" t="s">
        <v>1386</v>
      </c>
      <c r="B36" s="212">
        <v>1.7378279400000001</v>
      </c>
      <c r="C36" s="212">
        <v>1.7378279400000001</v>
      </c>
      <c r="D36" s="212"/>
      <c r="E36" s="212">
        <v>0.115430424432</v>
      </c>
      <c r="F36" s="212"/>
      <c r="G36" s="212"/>
      <c r="H36" s="212">
        <f t="shared" ref="H36:H53" si="5">B36-E36</f>
        <v>1.6223975155680002</v>
      </c>
    </row>
    <row r="37" spans="1:8">
      <c r="A37" s="25" t="s">
        <v>1387</v>
      </c>
      <c r="B37" s="212">
        <v>98.072761968684617</v>
      </c>
      <c r="C37" s="212">
        <v>98.072761968684617</v>
      </c>
      <c r="D37" s="212">
        <v>8.0505008399999998</v>
      </c>
      <c r="E37" s="212">
        <v>6.335382658632998</v>
      </c>
      <c r="F37" s="212"/>
      <c r="G37" s="212"/>
      <c r="H37" s="212">
        <f t="shared" si="5"/>
        <v>91.737379310051622</v>
      </c>
    </row>
    <row r="38" spans="1:8">
      <c r="A38" s="25" t="s">
        <v>1388</v>
      </c>
      <c r="B38" s="212">
        <v>16.13392554</v>
      </c>
      <c r="C38" s="212">
        <v>16.13392554</v>
      </c>
      <c r="D38" s="212"/>
      <c r="E38" s="212">
        <v>0.15630200910200001</v>
      </c>
      <c r="F38" s="212"/>
      <c r="G38" s="212"/>
      <c r="H38" s="212">
        <f t="shared" si="5"/>
        <v>15.977623530898001</v>
      </c>
    </row>
    <row r="39" spans="1:8">
      <c r="A39" s="25" t="s">
        <v>1389</v>
      </c>
      <c r="B39" s="212">
        <v>15.887484780000003</v>
      </c>
      <c r="C39" s="212">
        <v>15.887484780000003</v>
      </c>
      <c r="D39" s="212"/>
      <c r="E39" s="212">
        <v>5.3225546225000003E-2</v>
      </c>
      <c r="F39" s="212"/>
      <c r="G39" s="212"/>
      <c r="H39" s="212">
        <f t="shared" si="5"/>
        <v>15.834259233775002</v>
      </c>
    </row>
    <row r="40" spans="1:8">
      <c r="A40" s="25" t="s">
        <v>1390</v>
      </c>
      <c r="B40" s="212">
        <v>35.808434644031003</v>
      </c>
      <c r="C40" s="212">
        <v>35.808434644031003</v>
      </c>
      <c r="D40" s="212">
        <v>0.12050497000000002</v>
      </c>
      <c r="E40" s="212">
        <v>0.25768118159800008</v>
      </c>
      <c r="F40" s="212"/>
      <c r="G40" s="212"/>
      <c r="H40" s="212">
        <f t="shared" si="5"/>
        <v>35.550753462433001</v>
      </c>
    </row>
    <row r="41" spans="1:8">
      <c r="A41" s="25" t="s">
        <v>1391</v>
      </c>
      <c r="B41" s="212">
        <v>24.378307823438661</v>
      </c>
      <c r="C41" s="212">
        <v>24.378307823438661</v>
      </c>
      <c r="D41" s="212">
        <v>2.5653369999999998E-2</v>
      </c>
      <c r="E41" s="212">
        <v>0.24555387510000001</v>
      </c>
      <c r="F41" s="212"/>
      <c r="G41" s="212"/>
      <c r="H41" s="212">
        <f t="shared" si="5"/>
        <v>24.13275394833866</v>
      </c>
    </row>
    <row r="42" spans="1:8">
      <c r="A42" s="25" t="s">
        <v>1392</v>
      </c>
      <c r="B42" s="212">
        <v>11.075829405995432</v>
      </c>
      <c r="C42" s="212">
        <v>11.075829405995432</v>
      </c>
      <c r="D42" s="212">
        <v>0.10430498999999976</v>
      </c>
      <c r="E42" s="212">
        <v>0.14183337515199995</v>
      </c>
      <c r="F42" s="212"/>
      <c r="G42" s="212"/>
      <c r="H42" s="212">
        <f t="shared" si="5"/>
        <v>10.933996030843431</v>
      </c>
    </row>
    <row r="43" spans="1:8">
      <c r="A43" s="25" t="s">
        <v>1393</v>
      </c>
      <c r="B43" s="212">
        <v>15.065916136594369</v>
      </c>
      <c r="C43" s="212">
        <v>15.065916136594369</v>
      </c>
      <c r="D43" s="212"/>
      <c r="E43" s="212">
        <v>1.5804629691000001E-2</v>
      </c>
      <c r="F43" s="212"/>
      <c r="G43" s="212"/>
      <c r="H43" s="212">
        <f t="shared" si="5"/>
        <v>15.050111506903368</v>
      </c>
    </row>
    <row r="44" spans="1:8">
      <c r="A44" s="25" t="s">
        <v>1394</v>
      </c>
      <c r="B44" s="212">
        <v>4.1149213246557261</v>
      </c>
      <c r="C44" s="212">
        <v>4.1149213246557261</v>
      </c>
      <c r="D44" s="212">
        <v>1.3100609999999997E-2</v>
      </c>
      <c r="E44" s="212">
        <v>2.1710437834999995E-2</v>
      </c>
      <c r="F44" s="212"/>
      <c r="G44" s="212"/>
      <c r="H44" s="212">
        <f t="shared" si="5"/>
        <v>4.0932108868207262</v>
      </c>
    </row>
    <row r="45" spans="1:8">
      <c r="A45" s="25" t="s">
        <v>1395</v>
      </c>
      <c r="B45" s="212"/>
      <c r="C45" s="212"/>
      <c r="D45" s="212"/>
      <c r="E45" s="212"/>
      <c r="F45" s="212"/>
      <c r="G45" s="212"/>
      <c r="H45" s="212">
        <f t="shared" si="5"/>
        <v>0</v>
      </c>
    </row>
    <row r="46" spans="1:8">
      <c r="A46" s="25" t="s">
        <v>1396</v>
      </c>
      <c r="B46" s="212">
        <v>246.93011564236113</v>
      </c>
      <c r="C46" s="212">
        <v>246.93011564236113</v>
      </c>
      <c r="D46" s="212">
        <v>0.99</v>
      </c>
      <c r="E46" s="212">
        <v>0.82223168202399999</v>
      </c>
      <c r="F46" s="212"/>
      <c r="G46" s="212"/>
      <c r="H46" s="212">
        <f t="shared" si="5"/>
        <v>246.10788396033712</v>
      </c>
    </row>
    <row r="47" spans="1:8">
      <c r="A47" s="25" t="s">
        <v>1397</v>
      </c>
      <c r="B47" s="212">
        <v>23.389913446953596</v>
      </c>
      <c r="C47" s="212">
        <v>23.389913446953596</v>
      </c>
      <c r="D47" s="212"/>
      <c r="E47" s="212">
        <v>0.27788905492700211</v>
      </c>
      <c r="F47" s="212"/>
      <c r="G47" s="212"/>
      <c r="H47" s="212">
        <f t="shared" si="5"/>
        <v>23.112024392026594</v>
      </c>
    </row>
    <row r="48" spans="1:8">
      <c r="A48" s="25" t="s">
        <v>1398</v>
      </c>
      <c r="B48" s="212">
        <v>44.812726344616514</v>
      </c>
      <c r="C48" s="212">
        <v>44.812726344616514</v>
      </c>
      <c r="D48" s="212">
        <v>6.21618E-3</v>
      </c>
      <c r="E48" s="212">
        <v>8.8066125433000034E-2</v>
      </c>
      <c r="F48" s="212"/>
      <c r="G48" s="212"/>
      <c r="H48" s="212">
        <f t="shared" si="5"/>
        <v>44.724660219183512</v>
      </c>
    </row>
    <row r="49" spans="1:8">
      <c r="A49" s="25" t="s">
        <v>1399</v>
      </c>
      <c r="B49" s="212">
        <v>0.135021</v>
      </c>
      <c r="C49" s="212">
        <v>0.135021</v>
      </c>
      <c r="D49" s="212"/>
      <c r="E49" s="212">
        <v>3.8635812999999996E-5</v>
      </c>
      <c r="F49" s="212"/>
      <c r="G49" s="212"/>
      <c r="H49" s="212">
        <f t="shared" si="5"/>
        <v>0.13498236418699999</v>
      </c>
    </row>
    <row r="50" spans="1:8">
      <c r="A50" s="25" t="s">
        <v>1400</v>
      </c>
      <c r="B50" s="212">
        <v>2.390685559257598</v>
      </c>
      <c r="C50" s="212">
        <v>2.390685559257598</v>
      </c>
      <c r="D50" s="212">
        <v>7.2216099999999998E-3</v>
      </c>
      <c r="E50" s="212">
        <v>4.0506050610000007E-3</v>
      </c>
      <c r="F50" s="212"/>
      <c r="G50" s="212"/>
      <c r="H50" s="212">
        <f t="shared" si="5"/>
        <v>2.3866349541965981</v>
      </c>
    </row>
    <row r="51" spans="1:8">
      <c r="A51" s="25" t="s">
        <v>1401</v>
      </c>
      <c r="B51" s="212">
        <v>7.5881827530692494</v>
      </c>
      <c r="C51" s="212">
        <v>7.5881827530692494</v>
      </c>
      <c r="D51" s="212"/>
      <c r="E51" s="212">
        <v>6.4981687084000025E-2</v>
      </c>
      <c r="F51" s="212"/>
      <c r="G51" s="212"/>
      <c r="H51" s="212">
        <f t="shared" si="5"/>
        <v>7.5232010659852495</v>
      </c>
    </row>
    <row r="52" spans="1:8">
      <c r="A52" s="25" t="s">
        <v>1402</v>
      </c>
      <c r="B52" s="212">
        <v>34.582414993143956</v>
      </c>
      <c r="C52" s="212">
        <v>34.582414993143956</v>
      </c>
      <c r="D52" s="212"/>
      <c r="E52" s="212">
        <v>0.50142259215200014</v>
      </c>
      <c r="F52" s="212"/>
      <c r="G52" s="212"/>
      <c r="H52" s="212">
        <f t="shared" si="5"/>
        <v>34.08099240099196</v>
      </c>
    </row>
    <row r="53" spans="1:8">
      <c r="A53" s="25" t="s">
        <v>1403</v>
      </c>
      <c r="B53" s="212">
        <v>25.678367637241902</v>
      </c>
      <c r="C53" s="212">
        <v>25.678367637241902</v>
      </c>
      <c r="D53" s="212"/>
      <c r="E53" s="212">
        <v>0.12961238456499999</v>
      </c>
      <c r="F53" s="212"/>
      <c r="G53" s="212"/>
      <c r="H53" s="212">
        <f t="shared" si="5"/>
        <v>25.548755252676902</v>
      </c>
    </row>
    <row r="54" spans="1:8">
      <c r="A54" s="25" t="s">
        <v>209</v>
      </c>
      <c r="B54" s="212">
        <f>SUM(B35:B53)</f>
        <v>628.01341749697883</v>
      </c>
      <c r="C54" s="212">
        <f t="shared" ref="C54:H54" si="6">SUM(C35:C53)</f>
        <v>628.01341749697883</v>
      </c>
      <c r="D54" s="212">
        <f t="shared" si="6"/>
        <v>9.3790839500000001</v>
      </c>
      <c r="E54" s="212">
        <f t="shared" si="6"/>
        <v>9.3551225938669997</v>
      </c>
      <c r="F54" s="212">
        <f t="shared" si="6"/>
        <v>0</v>
      </c>
      <c r="G54" s="212">
        <f t="shared" si="6"/>
        <v>0</v>
      </c>
      <c r="H54" s="212">
        <f t="shared" si="6"/>
        <v>618.6582949031116</v>
      </c>
    </row>
  </sheetData>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heetViews>
  <sheetFormatPr defaultColWidth="9.109375" defaultRowHeight="13.2"/>
  <cols>
    <col min="1" max="1" width="24.44140625" style="25" customWidth="1"/>
    <col min="2" max="2" width="20.44140625" style="25" customWidth="1"/>
    <col min="3" max="3" width="17" style="25" customWidth="1"/>
    <col min="4" max="4" width="17.88671875" style="25" customWidth="1"/>
    <col min="5" max="5" width="17.33203125" style="25" customWidth="1"/>
    <col min="6" max="6" width="14.33203125" style="25" customWidth="1"/>
    <col min="7" max="7" width="19" style="25" customWidth="1"/>
    <col min="8" max="8" width="19.109375" style="25" customWidth="1"/>
    <col min="9" max="16384" width="9.109375" style="25"/>
  </cols>
  <sheetData>
    <row r="1" spans="1:8">
      <c r="A1" s="29" t="s">
        <v>242</v>
      </c>
    </row>
    <row r="5" spans="1:8">
      <c r="A5" s="35" t="s">
        <v>172</v>
      </c>
      <c r="B5" s="32" t="s">
        <v>192</v>
      </c>
      <c r="C5" s="32" t="s">
        <v>193</v>
      </c>
      <c r="D5" s="32" t="s">
        <v>211</v>
      </c>
      <c r="E5" s="32" t="s">
        <v>212</v>
      </c>
      <c r="F5" s="32" t="s">
        <v>213</v>
      </c>
      <c r="G5" s="32" t="s">
        <v>214</v>
      </c>
      <c r="H5" s="32" t="s">
        <v>215</v>
      </c>
    </row>
    <row r="6" spans="1:8">
      <c r="B6" s="28" t="s">
        <v>1421</v>
      </c>
    </row>
    <row r="7" spans="1:8" ht="35.25" customHeight="1">
      <c r="A7" s="31" t="s">
        <v>123</v>
      </c>
      <c r="B7" s="31"/>
      <c r="C7" s="33" t="s">
        <v>1422</v>
      </c>
      <c r="D7" s="33" t="s">
        <v>1423</v>
      </c>
      <c r="E7" s="33" t="s">
        <v>1424</v>
      </c>
      <c r="F7" s="33" t="s">
        <v>235</v>
      </c>
      <c r="G7" s="33" t="s">
        <v>236</v>
      </c>
      <c r="H7" s="36" t="s">
        <v>237</v>
      </c>
    </row>
    <row r="8" spans="1:8">
      <c r="A8" s="25" t="s">
        <v>1136</v>
      </c>
      <c r="B8" s="212">
        <f>879.823839511777-0.2</f>
        <v>879.62383951177696</v>
      </c>
      <c r="C8" s="212">
        <f>B8</f>
        <v>879.62383951177696</v>
      </c>
      <c r="D8" s="212">
        <v>8.4345315564761396</v>
      </c>
      <c r="E8" s="212">
        <v>3.52229126999999</v>
      </c>
      <c r="F8" s="212"/>
      <c r="G8" s="212"/>
      <c r="H8" s="212">
        <f>B8-E8</f>
        <v>876.10154824177698</v>
      </c>
    </row>
    <row r="9" spans="1:8">
      <c r="A9" s="25" t="s">
        <v>107</v>
      </c>
      <c r="B9" s="212">
        <v>3.1016630928987223</v>
      </c>
      <c r="C9" s="212">
        <f>B9</f>
        <v>3.1016630928987223</v>
      </c>
      <c r="D9" s="212">
        <v>6.3663200000000008E-3</v>
      </c>
      <c r="E9" s="212"/>
      <c r="F9" s="212"/>
      <c r="G9" s="212"/>
      <c r="H9" s="212">
        <f>B9-E9</f>
        <v>3.1016630928987223</v>
      </c>
    </row>
    <row r="10" spans="1:8">
      <c r="A10" s="25" t="s">
        <v>209</v>
      </c>
      <c r="B10" s="212">
        <f>SUM(B8:B9)</f>
        <v>882.72550260467574</v>
      </c>
      <c r="C10" s="212">
        <f t="shared" ref="C10:H10" si="0">SUM(C8:C9)</f>
        <v>882.72550260467574</v>
      </c>
      <c r="D10" s="212">
        <f t="shared" si="0"/>
        <v>8.4408978764761393</v>
      </c>
      <c r="E10" s="212">
        <f t="shared" si="0"/>
        <v>3.52229126999999</v>
      </c>
      <c r="F10" s="212">
        <f t="shared" si="0"/>
        <v>0</v>
      </c>
      <c r="G10" s="212">
        <f t="shared" si="0"/>
        <v>0</v>
      </c>
      <c r="H10" s="212">
        <f t="shared" si="0"/>
        <v>879.20321133467576</v>
      </c>
    </row>
    <row r="13" spans="1:8">
      <c r="A13" s="28" t="s">
        <v>173</v>
      </c>
      <c r="B13" s="28" t="s">
        <v>192</v>
      </c>
      <c r="C13" s="28" t="s">
        <v>193</v>
      </c>
      <c r="D13" s="28" t="s">
        <v>211</v>
      </c>
      <c r="E13" s="28" t="s">
        <v>212</v>
      </c>
      <c r="F13" s="28" t="s">
        <v>213</v>
      </c>
      <c r="G13" s="28" t="s">
        <v>214</v>
      </c>
      <c r="H13" s="28" t="s">
        <v>215</v>
      </c>
    </row>
    <row r="14" spans="1:8">
      <c r="B14" s="28" t="s">
        <v>1421</v>
      </c>
    </row>
    <row r="15" spans="1:8" ht="39.6">
      <c r="A15" s="31" t="s">
        <v>123</v>
      </c>
      <c r="B15" s="33"/>
      <c r="C15" s="33" t="s">
        <v>1422</v>
      </c>
      <c r="D15" s="33" t="s">
        <v>1423</v>
      </c>
      <c r="E15" s="33" t="s">
        <v>1424</v>
      </c>
      <c r="F15" s="33" t="s">
        <v>235</v>
      </c>
      <c r="G15" s="33" t="s">
        <v>236</v>
      </c>
      <c r="H15" s="36" t="s">
        <v>237</v>
      </c>
    </row>
    <row r="16" spans="1:8">
      <c r="A16" s="25" t="s">
        <v>1136</v>
      </c>
      <c r="B16" s="212">
        <v>624.89781181697617</v>
      </c>
      <c r="C16" s="212">
        <f>B16</f>
        <v>624.89781181697617</v>
      </c>
      <c r="D16" s="212">
        <v>9.1996029799999981</v>
      </c>
      <c r="E16" s="212">
        <v>9.3475307619250199</v>
      </c>
      <c r="F16" s="212"/>
      <c r="G16" s="212"/>
      <c r="H16" s="212">
        <f>B16-E16</f>
        <v>615.55028105505119</v>
      </c>
    </row>
    <row r="17" spans="1:8">
      <c r="A17" s="25" t="s">
        <v>107</v>
      </c>
      <c r="B17" s="212">
        <v>3.1156056800000003</v>
      </c>
      <c r="C17" s="212">
        <f>B17</f>
        <v>3.1156056800000003</v>
      </c>
      <c r="D17" s="212"/>
      <c r="E17" s="212">
        <v>7.591831942E-3</v>
      </c>
      <c r="F17" s="212"/>
      <c r="G17" s="212"/>
      <c r="H17" s="212">
        <f>B17-E17</f>
        <v>3.1080138480580004</v>
      </c>
    </row>
    <row r="18" spans="1:8">
      <c r="A18" s="25" t="s">
        <v>209</v>
      </c>
      <c r="B18" s="212">
        <f>SUM(B16:B17)</f>
        <v>628.01341749697622</v>
      </c>
      <c r="C18" s="212">
        <f t="shared" ref="C18:H18" si="1">SUM(C16:C17)</f>
        <v>628.01341749697622</v>
      </c>
      <c r="D18" s="212">
        <f t="shared" si="1"/>
        <v>9.1996029799999981</v>
      </c>
      <c r="E18" s="212">
        <f t="shared" si="1"/>
        <v>9.3551225938670193</v>
      </c>
      <c r="F18" s="212">
        <f t="shared" si="1"/>
        <v>0</v>
      </c>
      <c r="G18" s="212">
        <f t="shared" si="1"/>
        <v>0</v>
      </c>
      <c r="H18" s="212">
        <f t="shared" si="1"/>
        <v>618.65829490310921</v>
      </c>
    </row>
    <row r="20" spans="1:8">
      <c r="A20" s="25" t="s">
        <v>241</v>
      </c>
    </row>
  </sheetData>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workbookViewId="0"/>
  </sheetViews>
  <sheetFormatPr defaultColWidth="9.109375" defaultRowHeight="13.2"/>
  <cols>
    <col min="1" max="1" width="3.88671875" style="10" customWidth="1"/>
    <col min="2" max="2" width="79.5546875" style="10" customWidth="1"/>
    <col min="3" max="3" width="19.88671875" style="10" customWidth="1"/>
    <col min="4" max="4" width="27.33203125" style="10" customWidth="1"/>
    <col min="5" max="16384" width="9.109375" style="10"/>
  </cols>
  <sheetData>
    <row r="1" spans="1:4">
      <c r="B1" s="11" t="s">
        <v>249</v>
      </c>
    </row>
    <row r="5" spans="1:4">
      <c r="B5" s="13" t="s">
        <v>124</v>
      </c>
      <c r="C5" s="24" t="s">
        <v>192</v>
      </c>
      <c r="D5" s="24" t="s">
        <v>193</v>
      </c>
    </row>
    <row r="6" spans="1:4" ht="30" customHeight="1">
      <c r="B6" s="13" t="s">
        <v>123</v>
      </c>
      <c r="C6" s="49" t="s">
        <v>243</v>
      </c>
      <c r="D6" s="49" t="s">
        <v>244</v>
      </c>
    </row>
    <row r="7" spans="1:4">
      <c r="A7" s="10">
        <v>1</v>
      </c>
      <c r="B7" s="10" t="s">
        <v>252</v>
      </c>
      <c r="C7" s="215">
        <v>0</v>
      </c>
      <c r="D7" s="215">
        <v>-8.8240598979180103</v>
      </c>
    </row>
    <row r="8" spans="1:4">
      <c r="A8" s="10">
        <v>2</v>
      </c>
      <c r="B8" s="10" t="s">
        <v>1425</v>
      </c>
      <c r="C8" s="215">
        <v>0</v>
      </c>
      <c r="D8" s="215">
        <v>0</v>
      </c>
    </row>
    <row r="9" spans="1:4">
      <c r="A9" s="10">
        <v>3</v>
      </c>
      <c r="B9" s="10" t="s">
        <v>1426</v>
      </c>
      <c r="C9" s="215">
        <v>0</v>
      </c>
      <c r="D9" s="215">
        <v>0</v>
      </c>
    </row>
    <row r="10" spans="1:4">
      <c r="A10" s="10">
        <v>4</v>
      </c>
      <c r="B10" s="10" t="s">
        <v>1427</v>
      </c>
      <c r="C10" s="215">
        <v>0</v>
      </c>
      <c r="D10" s="215">
        <v>2.7204101433840102</v>
      </c>
    </row>
    <row r="11" spans="1:4">
      <c r="A11" s="10">
        <v>5</v>
      </c>
      <c r="B11" s="10" t="s">
        <v>1428</v>
      </c>
      <c r="C11" s="215">
        <v>0</v>
      </c>
      <c r="D11" s="215">
        <v>0</v>
      </c>
    </row>
    <row r="12" spans="1:4">
      <c r="A12" s="10">
        <v>6</v>
      </c>
      <c r="B12" s="10" t="s">
        <v>1429</v>
      </c>
      <c r="C12" s="215">
        <v>0</v>
      </c>
      <c r="D12" s="215">
        <v>0</v>
      </c>
    </row>
    <row r="13" spans="1:4">
      <c r="A13" s="10">
        <v>7</v>
      </c>
      <c r="B13" s="10" t="s">
        <v>1430</v>
      </c>
      <c r="C13" s="215">
        <v>0</v>
      </c>
      <c r="D13" s="215">
        <v>0</v>
      </c>
    </row>
    <row r="14" spans="1:4">
      <c r="A14" s="10">
        <v>8</v>
      </c>
      <c r="B14" s="10" t="s">
        <v>155</v>
      </c>
      <c r="C14" s="215">
        <v>0</v>
      </c>
      <c r="D14" s="215">
        <v>0</v>
      </c>
    </row>
    <row r="15" spans="1:4">
      <c r="A15" s="10">
        <v>9</v>
      </c>
      <c r="B15" s="10" t="s">
        <v>245</v>
      </c>
      <c r="C15" s="215">
        <v>0</v>
      </c>
      <c r="D15" s="215">
        <f>D7+D10</f>
        <v>-6.1036497545340005</v>
      </c>
    </row>
    <row r="16" spans="1:4">
      <c r="A16" s="10">
        <v>10</v>
      </c>
      <c r="B16" s="10" t="s">
        <v>246</v>
      </c>
      <c r="C16" s="215">
        <v>0</v>
      </c>
      <c r="D16" s="215">
        <v>0</v>
      </c>
    </row>
    <row r="17" spans="1:4">
      <c r="A17" s="10">
        <v>11</v>
      </c>
      <c r="B17" s="10" t="s">
        <v>247</v>
      </c>
      <c r="C17" s="215">
        <f>C7+C10</f>
        <v>0</v>
      </c>
      <c r="D17" s="215">
        <v>0</v>
      </c>
    </row>
    <row r="30" spans="1:4">
      <c r="B30" s="13" t="s">
        <v>125</v>
      </c>
      <c r="C30" s="13"/>
      <c r="D30" s="13"/>
    </row>
    <row r="31" spans="1:4" ht="26.4">
      <c r="B31" s="13" t="s">
        <v>123</v>
      </c>
      <c r="C31" s="49" t="s">
        <v>243</v>
      </c>
      <c r="D31" s="49" t="s">
        <v>248</v>
      </c>
    </row>
    <row r="32" spans="1:4">
      <c r="A32" s="10">
        <v>1</v>
      </c>
      <c r="B32" s="10" t="s">
        <v>252</v>
      </c>
      <c r="C32" s="215">
        <v>0</v>
      </c>
      <c r="D32" s="215">
        <v>-8.7993598933840094</v>
      </c>
    </row>
    <row r="33" spans="1:4">
      <c r="A33" s="10">
        <v>2</v>
      </c>
      <c r="B33" s="10" t="s">
        <v>1425</v>
      </c>
      <c r="C33" s="215">
        <v>0</v>
      </c>
      <c r="D33" s="215">
        <v>0</v>
      </c>
    </row>
    <row r="34" spans="1:4">
      <c r="A34" s="10">
        <v>3</v>
      </c>
      <c r="B34" s="10" t="s">
        <v>1426</v>
      </c>
      <c r="C34" s="215">
        <v>0</v>
      </c>
      <c r="D34" s="215">
        <v>0</v>
      </c>
    </row>
    <row r="35" spans="1:4">
      <c r="A35" s="10">
        <v>4</v>
      </c>
      <c r="B35" s="10" t="s">
        <v>1427</v>
      </c>
      <c r="C35" s="215">
        <v>0</v>
      </c>
      <c r="D35" s="215">
        <v>-1.476758036616</v>
      </c>
    </row>
    <row r="36" spans="1:4">
      <c r="A36" s="10">
        <v>5</v>
      </c>
      <c r="B36" s="10" t="s">
        <v>1428</v>
      </c>
      <c r="C36" s="215">
        <v>0</v>
      </c>
      <c r="D36" s="215">
        <v>0</v>
      </c>
    </row>
    <row r="37" spans="1:4">
      <c r="A37" s="10">
        <v>6</v>
      </c>
      <c r="B37" s="10" t="s">
        <v>1429</v>
      </c>
      <c r="C37" s="215">
        <v>0</v>
      </c>
      <c r="D37" s="215">
        <v>0</v>
      </c>
    </row>
    <row r="38" spans="1:4">
      <c r="A38" s="10">
        <v>7</v>
      </c>
      <c r="B38" s="10" t="s">
        <v>1430</v>
      </c>
      <c r="C38" s="215">
        <v>0</v>
      </c>
      <c r="D38" s="215">
        <v>0</v>
      </c>
    </row>
    <row r="39" spans="1:4">
      <c r="A39" s="10">
        <v>8</v>
      </c>
      <c r="B39" s="10" t="s">
        <v>155</v>
      </c>
      <c r="C39" s="215">
        <v>0</v>
      </c>
      <c r="D39" s="215">
        <v>0</v>
      </c>
    </row>
    <row r="40" spans="1:4">
      <c r="A40" s="10">
        <v>9</v>
      </c>
      <c r="B40" s="10" t="s">
        <v>245</v>
      </c>
      <c r="C40" s="215">
        <v>0</v>
      </c>
      <c r="D40" s="215">
        <f>D32+D35</f>
        <v>-10.276117930000009</v>
      </c>
    </row>
    <row r="41" spans="1:4">
      <c r="A41" s="10">
        <v>10</v>
      </c>
      <c r="B41" s="10" t="s">
        <v>246</v>
      </c>
      <c r="C41" s="215">
        <v>0</v>
      </c>
      <c r="D41" s="215">
        <v>0</v>
      </c>
    </row>
    <row r="42" spans="1:4">
      <c r="A42" s="10">
        <v>11</v>
      </c>
      <c r="B42" s="10" t="s">
        <v>247</v>
      </c>
      <c r="C42" s="215">
        <f>C32+C35</f>
        <v>0</v>
      </c>
      <c r="D42" s="215">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heetViews>
  <sheetFormatPr defaultColWidth="9.109375" defaultRowHeight="13.2"/>
  <cols>
    <col min="1" max="1" width="4.44140625" style="10" customWidth="1"/>
    <col min="2" max="2" width="9.109375" style="10"/>
    <col min="3" max="3" width="64.5546875" style="10" customWidth="1"/>
    <col min="4" max="4" width="34.33203125" style="10" customWidth="1"/>
    <col min="5" max="16384" width="9.109375" style="10"/>
  </cols>
  <sheetData>
    <row r="1" spans="1:5">
      <c r="B1" s="11" t="s">
        <v>250</v>
      </c>
    </row>
    <row r="5" spans="1:5">
      <c r="B5" s="12" t="s">
        <v>124</v>
      </c>
      <c r="C5" s="12"/>
      <c r="D5" s="16" t="s">
        <v>192</v>
      </c>
    </row>
    <row r="6" spans="1:5">
      <c r="B6" s="13" t="s">
        <v>123</v>
      </c>
      <c r="C6" s="13"/>
      <c r="D6" s="13" t="s">
        <v>251</v>
      </c>
    </row>
    <row r="7" spans="1:5">
      <c r="A7" s="10">
        <v>1</v>
      </c>
      <c r="B7" s="10" t="s">
        <v>252</v>
      </c>
      <c r="D7" s="215">
        <f>D28</f>
        <v>13.099304577597302</v>
      </c>
    </row>
    <row r="8" spans="1:5">
      <c r="A8" s="10">
        <v>2</v>
      </c>
      <c r="B8" s="10" t="s">
        <v>253</v>
      </c>
      <c r="D8" s="203">
        <v>3.0138480098244887E-2</v>
      </c>
    </row>
    <row r="9" spans="1:5">
      <c r="A9" s="10">
        <v>3</v>
      </c>
      <c r="B9" s="10" t="s">
        <v>254</v>
      </c>
      <c r="D9" s="215">
        <v>2.5265209199721646E-2</v>
      </c>
    </row>
    <row r="10" spans="1:5">
      <c r="A10" s="10">
        <v>4</v>
      </c>
      <c r="B10" s="10" t="s">
        <v>255</v>
      </c>
      <c r="D10" s="215">
        <v>-3.2094427900000002</v>
      </c>
    </row>
    <row r="11" spans="1:5">
      <c r="A11" s="10">
        <v>5</v>
      </c>
      <c r="B11" s="10" t="s">
        <v>256</v>
      </c>
      <c r="D11" s="215">
        <f>D7+D8+D9+D10-D12</f>
        <v>-2.3742256930631935</v>
      </c>
    </row>
    <row r="12" spans="1:5">
      <c r="A12" s="10">
        <v>6</v>
      </c>
      <c r="B12" s="10" t="s">
        <v>245</v>
      </c>
      <c r="D12" s="215">
        <f>'10'!D51</f>
        <v>12.319491169958461</v>
      </c>
      <c r="E12" s="43"/>
    </row>
    <row r="21" spans="1:4">
      <c r="B21" s="12" t="s">
        <v>125</v>
      </c>
      <c r="C21" s="12"/>
      <c r="D21" s="12" t="s">
        <v>16</v>
      </c>
    </row>
    <row r="22" spans="1:4">
      <c r="B22" s="13" t="s">
        <v>123</v>
      </c>
      <c r="C22" s="13"/>
      <c r="D22" s="13" t="s">
        <v>251</v>
      </c>
    </row>
    <row r="23" spans="1:4">
      <c r="A23" s="10">
        <v>1</v>
      </c>
      <c r="B23" s="10" t="s">
        <v>252</v>
      </c>
      <c r="D23" s="215">
        <v>20.501292226593399</v>
      </c>
    </row>
    <row r="24" spans="1:4">
      <c r="A24" s="10">
        <v>2</v>
      </c>
      <c r="B24" s="10" t="s">
        <v>253</v>
      </c>
      <c r="D24" s="215">
        <v>0.18536169969445287</v>
      </c>
    </row>
    <row r="25" spans="1:4">
      <c r="A25" s="10">
        <v>3</v>
      </c>
      <c r="B25" s="10" t="s">
        <v>254</v>
      </c>
      <c r="D25" s="215">
        <v>1.7809457984047873E-3</v>
      </c>
    </row>
    <row r="26" spans="1:4">
      <c r="A26" s="10">
        <v>4</v>
      </c>
      <c r="B26" s="10" t="s">
        <v>255</v>
      </c>
      <c r="D26" s="215">
        <v>-4.8795275299999998</v>
      </c>
    </row>
    <row r="27" spans="1:4">
      <c r="A27" s="10">
        <v>5</v>
      </c>
      <c r="B27" s="10" t="s">
        <v>256</v>
      </c>
      <c r="D27" s="215">
        <f>D23+D24+D25+D26-D28</f>
        <v>2.709602764488956</v>
      </c>
    </row>
    <row r="28" spans="1:4">
      <c r="A28" s="10">
        <v>6</v>
      </c>
      <c r="B28" s="10" t="s">
        <v>245</v>
      </c>
      <c r="D28" s="215">
        <f>'10'!D129</f>
        <v>13.099304577597302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1"/>
  <sheetViews>
    <sheetView workbookViewId="0">
      <selection activeCell="C28" sqref="C28"/>
    </sheetView>
  </sheetViews>
  <sheetFormatPr defaultColWidth="9.109375" defaultRowHeight="13.2"/>
  <cols>
    <col min="1" max="1" width="4.88671875" style="10" customWidth="1"/>
    <col min="2" max="2" width="25" style="10" customWidth="1"/>
    <col min="3" max="3" width="16.6640625" style="10" customWidth="1"/>
    <col min="4" max="4" width="17.88671875" style="10" customWidth="1"/>
    <col min="5" max="5" width="19.6640625" style="10" customWidth="1"/>
    <col min="6" max="6" width="22" style="10" customWidth="1"/>
    <col min="7" max="7" width="20" style="10" customWidth="1"/>
    <col min="8" max="16384" width="9.109375" style="10"/>
  </cols>
  <sheetData>
    <row r="1" spans="2:6">
      <c r="B1" s="11" t="s">
        <v>258</v>
      </c>
    </row>
    <row r="4" spans="2:6" ht="15" thickBot="1">
      <c r="B4" s="14"/>
      <c r="C4" s="343" t="s">
        <v>1513</v>
      </c>
      <c r="D4" s="343"/>
      <c r="E4" s="343" t="s">
        <v>1514</v>
      </c>
      <c r="F4" s="343"/>
    </row>
    <row r="5" spans="2:6">
      <c r="B5" s="344"/>
      <c r="C5" s="345" t="s">
        <v>1515</v>
      </c>
      <c r="D5" s="345" t="s">
        <v>1516</v>
      </c>
      <c r="E5" s="348" t="s">
        <v>1515</v>
      </c>
      <c r="F5" s="345" t="s">
        <v>1516</v>
      </c>
    </row>
    <row r="6" spans="2:6" ht="13.8" thickBot="1">
      <c r="B6" s="346" t="s">
        <v>1526</v>
      </c>
      <c r="C6" s="343"/>
      <c r="D6" s="343"/>
      <c r="E6" s="347"/>
      <c r="F6" s="343"/>
    </row>
    <row r="7" spans="2:6">
      <c r="B7" s="344" t="s">
        <v>1517</v>
      </c>
      <c r="C7" s="349">
        <v>826.64300000000003</v>
      </c>
      <c r="D7" s="349">
        <v>1523.2860000000001</v>
      </c>
      <c r="E7" s="350">
        <v>866.495</v>
      </c>
      <c r="F7" s="349">
        <v>674.66300000000001</v>
      </c>
    </row>
    <row r="8" spans="2:6">
      <c r="B8" s="328" t="s">
        <v>1518</v>
      </c>
      <c r="C8" s="351">
        <v>211.756</v>
      </c>
      <c r="D8" s="351">
        <v>294.565</v>
      </c>
      <c r="E8" s="352">
        <v>673.32500000000005</v>
      </c>
      <c r="F8" s="351">
        <v>574.44799999999998</v>
      </c>
    </row>
    <row r="9" spans="2:6">
      <c r="B9" s="328" t="s">
        <v>1519</v>
      </c>
      <c r="C9" s="351">
        <v>5.9880000000000004</v>
      </c>
      <c r="D9" s="351">
        <v>137.767</v>
      </c>
      <c r="E9" s="352">
        <v>0</v>
      </c>
      <c r="F9" s="351">
        <v>0</v>
      </c>
    </row>
    <row r="10" spans="2:6">
      <c r="B10" s="328" t="s">
        <v>1520</v>
      </c>
      <c r="C10" s="351">
        <v>37.119</v>
      </c>
      <c r="D10" s="351">
        <v>57.802</v>
      </c>
      <c r="E10" s="352">
        <v>65.518000000000001</v>
      </c>
      <c r="F10" s="351">
        <v>8.2910000000000004</v>
      </c>
    </row>
    <row r="11" spans="2:6">
      <c r="B11" s="328" t="s">
        <v>1521</v>
      </c>
      <c r="C11" s="351">
        <v>76.406999999999996</v>
      </c>
      <c r="D11" s="351">
        <v>76.406999999999996</v>
      </c>
      <c r="E11" s="352">
        <v>13.081</v>
      </c>
      <c r="F11" s="351">
        <v>0</v>
      </c>
    </row>
    <row r="12" spans="2:6">
      <c r="B12" s="328" t="s">
        <v>1522</v>
      </c>
      <c r="C12" s="351">
        <v>0</v>
      </c>
      <c r="D12" s="351">
        <v>0</v>
      </c>
      <c r="E12" s="352">
        <v>16.41</v>
      </c>
      <c r="F12" s="351">
        <v>0</v>
      </c>
    </row>
    <row r="13" spans="2:6">
      <c r="B13" s="328" t="s">
        <v>1523</v>
      </c>
      <c r="C13" s="351">
        <v>495.37299999999999</v>
      </c>
      <c r="D13" s="351">
        <v>956.745</v>
      </c>
      <c r="E13" s="352">
        <v>98.161000000000001</v>
      </c>
      <c r="F13" s="351">
        <v>91.924000000000007</v>
      </c>
    </row>
    <row r="14" spans="2:6" ht="13.8" thickBot="1">
      <c r="B14" s="347"/>
      <c r="C14" s="353">
        <v>0</v>
      </c>
      <c r="D14" s="353">
        <v>0</v>
      </c>
      <c r="E14" s="354">
        <v>0</v>
      </c>
      <c r="F14" s="353">
        <v>0</v>
      </c>
    </row>
    <row r="15" spans="2:6">
      <c r="B15" s="344" t="s">
        <v>1524</v>
      </c>
      <c r="C15" s="349">
        <v>364.59800000000001</v>
      </c>
      <c r="D15" s="349">
        <v>616.53200000000004</v>
      </c>
      <c r="E15" s="350">
        <v>564.43899999999996</v>
      </c>
      <c r="F15" s="349">
        <v>294.37900000000002</v>
      </c>
    </row>
    <row r="16" spans="2:6">
      <c r="B16" s="328" t="s">
        <v>1518</v>
      </c>
      <c r="C16" s="351" t="s">
        <v>1525</v>
      </c>
      <c r="D16" s="351">
        <v>397.06</v>
      </c>
      <c r="E16" s="352">
        <v>430.851</v>
      </c>
      <c r="F16" s="351">
        <v>239.32599999999999</v>
      </c>
    </row>
    <row r="17" spans="2:6">
      <c r="B17" s="328" t="s">
        <v>1519</v>
      </c>
      <c r="C17" s="351">
        <v>3.73</v>
      </c>
      <c r="D17" s="351">
        <v>6.2930000000000001</v>
      </c>
      <c r="E17" s="352">
        <v>0</v>
      </c>
      <c r="F17" s="351">
        <v>0</v>
      </c>
    </row>
    <row r="18" spans="2:6">
      <c r="B18" s="328" t="s">
        <v>1520</v>
      </c>
      <c r="C18" s="351">
        <v>37.845999999999997</v>
      </c>
      <c r="D18" s="351">
        <v>100.82</v>
      </c>
      <c r="E18" s="352">
        <v>40.999000000000002</v>
      </c>
      <c r="F18" s="351">
        <v>7.3999999999999996E-2</v>
      </c>
    </row>
    <row r="19" spans="2:6">
      <c r="B19" s="328" t="s">
        <v>1521</v>
      </c>
      <c r="C19" s="351">
        <v>0</v>
      </c>
      <c r="D19" s="351">
        <v>0</v>
      </c>
      <c r="E19" s="352">
        <v>60.164999999999999</v>
      </c>
      <c r="F19" s="351">
        <v>41.033000000000001</v>
      </c>
    </row>
    <row r="20" spans="2:6">
      <c r="B20" s="328" t="s">
        <v>1522</v>
      </c>
      <c r="C20" s="351">
        <v>0</v>
      </c>
      <c r="D20" s="351">
        <v>0</v>
      </c>
      <c r="E20" s="352">
        <v>17.75</v>
      </c>
      <c r="F20" s="351">
        <v>0</v>
      </c>
    </row>
    <row r="21" spans="2:6">
      <c r="B21" s="328" t="s">
        <v>1523</v>
      </c>
      <c r="C21" s="351">
        <v>86.334999999999994</v>
      </c>
      <c r="D21" s="351">
        <v>112.35899999999999</v>
      </c>
      <c r="E21" s="352">
        <v>14.673999999999999</v>
      </c>
      <c r="F21" s="351">
        <v>13.946</v>
      </c>
    </row>
  </sheetData>
  <mergeCells count="5">
    <mergeCell ref="C4:D4"/>
    <mergeCell ref="E4:F4"/>
    <mergeCell ref="C5:C6"/>
    <mergeCell ref="D5:D6"/>
    <mergeCell ref="F5:F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92"/>
  <sheetViews>
    <sheetView tabSelected="1" topLeftCell="A64" workbookViewId="0">
      <selection activeCell="A80" sqref="A80"/>
    </sheetView>
  </sheetViews>
  <sheetFormatPr defaultColWidth="9.109375" defaultRowHeight="13.2"/>
  <cols>
    <col min="1" max="1" width="99.109375" style="10" bestFit="1" customWidth="1"/>
    <col min="2" max="2" width="12" style="10" bestFit="1" customWidth="1"/>
    <col min="3" max="16384" width="9.109375" style="10"/>
  </cols>
  <sheetData>
    <row r="1" spans="1:2">
      <c r="A1" s="99" t="s">
        <v>24</v>
      </c>
      <c r="B1" s="99" t="s">
        <v>25</v>
      </c>
    </row>
    <row r="2" spans="1:2">
      <c r="A2" s="100" t="s">
        <v>26</v>
      </c>
      <c r="B2" s="101"/>
    </row>
    <row r="3" spans="1:2">
      <c r="A3" s="102" t="s">
        <v>27</v>
      </c>
      <c r="B3" s="103">
        <v>1</v>
      </c>
    </row>
    <row r="4" spans="1:2">
      <c r="A4" s="102" t="s">
        <v>1365</v>
      </c>
      <c r="B4" s="103">
        <v>2</v>
      </c>
    </row>
    <row r="5" spans="1:2">
      <c r="A5" s="102" t="s">
        <v>1291</v>
      </c>
      <c r="B5" s="103">
        <v>3</v>
      </c>
    </row>
    <row r="6" spans="1:2">
      <c r="A6" s="102" t="s">
        <v>30</v>
      </c>
      <c r="B6" s="103">
        <v>4</v>
      </c>
    </row>
    <row r="7" spans="1:2">
      <c r="A7" s="102" t="s">
        <v>31</v>
      </c>
      <c r="B7" s="103">
        <v>5</v>
      </c>
    </row>
    <row r="8" spans="1:2">
      <c r="A8" s="102" t="s">
        <v>32</v>
      </c>
      <c r="B8" s="103">
        <v>6</v>
      </c>
    </row>
    <row r="9" spans="1:2">
      <c r="A9" s="99" t="s">
        <v>34</v>
      </c>
      <c r="B9" s="103" t="s">
        <v>16</v>
      </c>
    </row>
    <row r="10" spans="1:2">
      <c r="A10" s="102" t="s">
        <v>36</v>
      </c>
      <c r="B10" s="103">
        <v>7</v>
      </c>
    </row>
    <row r="11" spans="1:2">
      <c r="A11" s="102" t="s">
        <v>37</v>
      </c>
      <c r="B11" s="103">
        <v>8</v>
      </c>
    </row>
    <row r="12" spans="1:2">
      <c r="A12" s="102" t="s">
        <v>38</v>
      </c>
      <c r="B12" s="103">
        <v>9</v>
      </c>
    </row>
    <row r="13" spans="1:2">
      <c r="A13" s="102" t="s">
        <v>39</v>
      </c>
      <c r="B13" s="103">
        <v>10</v>
      </c>
    </row>
    <row r="14" spans="1:2">
      <c r="A14" s="102" t="s">
        <v>40</v>
      </c>
      <c r="B14" s="103">
        <v>11</v>
      </c>
    </row>
    <row r="15" spans="1:2">
      <c r="A15" s="102" t="s">
        <v>41</v>
      </c>
      <c r="B15" s="103">
        <v>12</v>
      </c>
    </row>
    <row r="16" spans="1:2">
      <c r="A16" s="102" t="s">
        <v>42</v>
      </c>
      <c r="B16" s="103">
        <v>13</v>
      </c>
    </row>
    <row r="17" spans="1:2">
      <c r="A17" s="102" t="s">
        <v>43</v>
      </c>
      <c r="B17" s="103">
        <v>14</v>
      </c>
    </row>
    <row r="18" spans="1:2">
      <c r="A18" s="102" t="s">
        <v>44</v>
      </c>
      <c r="B18" s="103">
        <v>15</v>
      </c>
    </row>
    <row r="19" spans="1:2">
      <c r="A19" s="102" t="s">
        <v>45</v>
      </c>
      <c r="B19" s="103">
        <v>16</v>
      </c>
    </row>
    <row r="20" spans="1:2">
      <c r="A20" s="102" t="s">
        <v>46</v>
      </c>
      <c r="B20" s="103">
        <v>17</v>
      </c>
    </row>
    <row r="21" spans="1:2">
      <c r="A21" s="102" t="s">
        <v>47</v>
      </c>
      <c r="B21" s="103">
        <v>18</v>
      </c>
    </row>
    <row r="22" spans="1:2">
      <c r="A22" s="102" t="s">
        <v>48</v>
      </c>
      <c r="B22" s="103">
        <v>19</v>
      </c>
    </row>
    <row r="23" spans="1:2">
      <c r="A23" s="102" t="s">
        <v>49</v>
      </c>
      <c r="B23" s="103">
        <v>20</v>
      </c>
    </row>
    <row r="24" spans="1:2">
      <c r="A24" s="102" t="s">
        <v>50</v>
      </c>
      <c r="B24" s="103">
        <v>21</v>
      </c>
    </row>
    <row r="25" spans="1:2">
      <c r="A25" s="102" t="s">
        <v>51</v>
      </c>
      <c r="B25" s="103">
        <v>22</v>
      </c>
    </row>
    <row r="26" spans="1:2">
      <c r="A26" s="102" t="s">
        <v>52</v>
      </c>
      <c r="B26" s="103">
        <v>23</v>
      </c>
    </row>
    <row r="27" spans="1:2">
      <c r="A27" s="102" t="s">
        <v>53</v>
      </c>
      <c r="B27" s="103">
        <v>24</v>
      </c>
    </row>
    <row r="28" spans="1:2">
      <c r="A28" s="102" t="s">
        <v>54</v>
      </c>
      <c r="B28" s="103">
        <v>25</v>
      </c>
    </row>
    <row r="29" spans="1:2">
      <c r="A29" s="102" t="s">
        <v>58</v>
      </c>
      <c r="B29" s="103">
        <v>26</v>
      </c>
    </row>
    <row r="30" spans="1:2">
      <c r="A30" s="102" t="s">
        <v>63</v>
      </c>
      <c r="B30" s="103">
        <v>27</v>
      </c>
    </row>
    <row r="31" spans="1:2">
      <c r="A31" s="102" t="s">
        <v>64</v>
      </c>
      <c r="B31" s="103">
        <v>28</v>
      </c>
    </row>
    <row r="32" spans="1:2">
      <c r="A32" s="102" t="s">
        <v>65</v>
      </c>
      <c r="B32" s="103">
        <v>29</v>
      </c>
    </row>
    <row r="33" spans="1:2">
      <c r="A33" s="102" t="s">
        <v>66</v>
      </c>
      <c r="B33" s="103">
        <v>30</v>
      </c>
    </row>
    <row r="34" spans="1:2">
      <c r="A34" s="102" t="s">
        <v>68</v>
      </c>
      <c r="B34" s="103">
        <v>31</v>
      </c>
    </row>
    <row r="35" spans="1:2">
      <c r="A35" s="102" t="s">
        <v>70</v>
      </c>
      <c r="B35" s="103">
        <v>32</v>
      </c>
    </row>
    <row r="36" spans="1:2">
      <c r="A36" s="104"/>
      <c r="B36" s="103"/>
    </row>
    <row r="37" spans="1:2">
      <c r="A37" s="99" t="s">
        <v>71</v>
      </c>
      <c r="B37" s="103"/>
    </row>
    <row r="38" spans="1:2">
      <c r="A38" s="102" t="s">
        <v>72</v>
      </c>
      <c r="B38" s="103">
        <v>33</v>
      </c>
    </row>
    <row r="39" spans="1:2">
      <c r="A39" s="102" t="s">
        <v>73</v>
      </c>
      <c r="B39" s="103">
        <v>34</v>
      </c>
    </row>
    <row r="40" spans="1:2">
      <c r="A40" s="102" t="s">
        <v>74</v>
      </c>
      <c r="B40" s="103">
        <v>35</v>
      </c>
    </row>
    <row r="41" spans="1:2">
      <c r="A41" s="102" t="s">
        <v>75</v>
      </c>
      <c r="B41" s="103">
        <v>36</v>
      </c>
    </row>
    <row r="42" spans="1:2">
      <c r="A42" s="102" t="s">
        <v>76</v>
      </c>
      <c r="B42" s="103">
        <v>37</v>
      </c>
    </row>
    <row r="43" spans="1:2">
      <c r="A43" s="102" t="s">
        <v>77</v>
      </c>
      <c r="B43" s="103">
        <v>38</v>
      </c>
    </row>
    <row r="44" spans="1:2">
      <c r="A44" s="102" t="s">
        <v>78</v>
      </c>
      <c r="B44" s="103">
        <v>39</v>
      </c>
    </row>
    <row r="45" spans="1:2">
      <c r="A45" s="102" t="s">
        <v>79</v>
      </c>
      <c r="B45" s="103">
        <v>40</v>
      </c>
    </row>
    <row r="46" spans="1:2">
      <c r="A46" s="102" t="s">
        <v>80</v>
      </c>
      <c r="B46" s="103">
        <v>41</v>
      </c>
    </row>
    <row r="47" spans="1:2">
      <c r="A47" s="102" t="s">
        <v>81</v>
      </c>
      <c r="B47" s="103">
        <v>42</v>
      </c>
    </row>
    <row r="48" spans="1:2">
      <c r="A48" s="104"/>
      <c r="B48" s="103"/>
    </row>
    <row r="49" spans="1:2">
      <c r="A49" s="102" t="s">
        <v>82</v>
      </c>
      <c r="B49" s="103"/>
    </row>
    <row r="50" spans="1:2">
      <c r="A50" s="105" t="s">
        <v>82</v>
      </c>
      <c r="B50" s="103">
        <v>43</v>
      </c>
    </row>
    <row r="51" spans="1:2">
      <c r="A51" s="105"/>
      <c r="B51" s="103"/>
    </row>
    <row r="52" spans="1:2">
      <c r="A52" s="105"/>
      <c r="B52" s="103"/>
    </row>
    <row r="53" spans="1:2">
      <c r="A53" s="105"/>
      <c r="B53" s="103"/>
    </row>
    <row r="54" spans="1:2">
      <c r="A54" s="106" t="s">
        <v>24</v>
      </c>
      <c r="B54" s="107"/>
    </row>
    <row r="55" spans="1:2">
      <c r="A55" s="99" t="s">
        <v>83</v>
      </c>
      <c r="B55" s="103"/>
    </row>
    <row r="56" spans="1:2">
      <c r="A56" s="102" t="s">
        <v>84</v>
      </c>
      <c r="B56" s="103">
        <v>44</v>
      </c>
    </row>
    <row r="57" spans="1:2">
      <c r="A57" s="102" t="s">
        <v>85</v>
      </c>
      <c r="B57" s="103">
        <v>45</v>
      </c>
    </row>
    <row r="58" spans="1:2">
      <c r="A58" s="102" t="s">
        <v>86</v>
      </c>
      <c r="B58" s="103">
        <v>46</v>
      </c>
    </row>
    <row r="59" spans="1:2">
      <c r="A59" s="102" t="s">
        <v>87</v>
      </c>
      <c r="B59" s="103">
        <v>47</v>
      </c>
    </row>
    <row r="60" spans="1:2">
      <c r="A60" s="102" t="s">
        <v>88</v>
      </c>
      <c r="B60" s="103">
        <v>48</v>
      </c>
    </row>
    <row r="61" spans="1:2">
      <c r="A61" s="102" t="s">
        <v>89</v>
      </c>
      <c r="B61" s="103">
        <v>49</v>
      </c>
    </row>
    <row r="62" spans="1:2">
      <c r="A62" s="102" t="s">
        <v>90</v>
      </c>
      <c r="B62" s="103">
        <v>50</v>
      </c>
    </row>
    <row r="63" spans="1:2">
      <c r="A63" s="102" t="s">
        <v>91</v>
      </c>
      <c r="B63" s="103">
        <v>51</v>
      </c>
    </row>
    <row r="64" spans="1:2">
      <c r="A64" s="102" t="s">
        <v>92</v>
      </c>
      <c r="B64" s="103">
        <v>52</v>
      </c>
    </row>
    <row r="65" spans="1:2">
      <c r="A65" s="102" t="s">
        <v>93</v>
      </c>
      <c r="B65" s="103">
        <v>53</v>
      </c>
    </row>
    <row r="66" spans="1:2">
      <c r="A66" s="108"/>
      <c r="B66" s="103"/>
    </row>
    <row r="67" spans="1:2">
      <c r="A67" s="99" t="s">
        <v>94</v>
      </c>
      <c r="B67" s="103"/>
    </row>
    <row r="68" spans="1:2">
      <c r="A68" s="102" t="s">
        <v>95</v>
      </c>
      <c r="B68" s="103">
        <v>54</v>
      </c>
    </row>
    <row r="69" spans="1:2">
      <c r="A69" s="109"/>
      <c r="B69" s="103"/>
    </row>
    <row r="70" spans="1:2">
      <c r="A70" s="99" t="s">
        <v>96</v>
      </c>
      <c r="B70" s="103"/>
    </row>
    <row r="71" spans="1:2">
      <c r="A71" s="110" t="s">
        <v>97</v>
      </c>
      <c r="B71" s="103">
        <v>55</v>
      </c>
    </row>
    <row r="72" spans="1:2">
      <c r="A72" s="110" t="s">
        <v>1325</v>
      </c>
      <c r="B72" s="103">
        <v>56</v>
      </c>
    </row>
    <row r="73" spans="1:2">
      <c r="A73" s="110" t="s">
        <v>98</v>
      </c>
      <c r="B73" s="103">
        <v>57</v>
      </c>
    </row>
    <row r="74" spans="1:2">
      <c r="A74" s="110" t="s">
        <v>99</v>
      </c>
      <c r="B74" s="103">
        <v>58</v>
      </c>
    </row>
    <row r="75" spans="1:2">
      <c r="A75" s="110" t="s">
        <v>100</v>
      </c>
      <c r="B75" s="103">
        <v>59</v>
      </c>
    </row>
    <row r="76" spans="1:2">
      <c r="A76" s="110" t="s">
        <v>101</v>
      </c>
      <c r="B76" s="103">
        <v>60</v>
      </c>
    </row>
    <row r="77" spans="1:2">
      <c r="A77" s="110" t="s">
        <v>102</v>
      </c>
      <c r="B77" s="103">
        <v>61</v>
      </c>
    </row>
    <row r="78" spans="1:2">
      <c r="A78" s="110" t="s">
        <v>103</v>
      </c>
      <c r="B78" s="103">
        <v>62</v>
      </c>
    </row>
    <row r="79" spans="1:2">
      <c r="A79" s="110" t="s">
        <v>104</v>
      </c>
      <c r="B79" s="103">
        <v>63</v>
      </c>
    </row>
    <row r="80" spans="1:2">
      <c r="A80" s="110" t="s">
        <v>105</v>
      </c>
      <c r="B80" s="103">
        <v>64</v>
      </c>
    </row>
    <row r="81" spans="1:2">
      <c r="A81" s="111" t="s">
        <v>106</v>
      </c>
      <c r="B81" s="103">
        <v>65</v>
      </c>
    </row>
    <row r="82" spans="1:2">
      <c r="A82" s="111"/>
      <c r="B82" s="103"/>
    </row>
    <row r="83" spans="1:2">
      <c r="A83" s="99" t="s">
        <v>107</v>
      </c>
      <c r="B83" s="103"/>
    </row>
    <row r="84" spans="1:2" ht="26.4">
      <c r="A84" s="105" t="s">
        <v>108</v>
      </c>
      <c r="B84" s="103">
        <v>66</v>
      </c>
    </row>
    <row r="85" spans="1:2">
      <c r="A85" s="105" t="s">
        <v>110</v>
      </c>
      <c r="B85" s="103">
        <v>67</v>
      </c>
    </row>
    <row r="86" spans="1:2">
      <c r="A86" s="105" t="s">
        <v>111</v>
      </c>
      <c r="B86" s="103">
        <v>68</v>
      </c>
    </row>
    <row r="87" spans="1:2">
      <c r="A87" s="105" t="s">
        <v>112</v>
      </c>
      <c r="B87" s="103">
        <v>69</v>
      </c>
    </row>
    <row r="88" spans="1:2">
      <c r="A88" s="105" t="s">
        <v>115</v>
      </c>
      <c r="B88" s="103">
        <v>70</v>
      </c>
    </row>
    <row r="89" spans="1:2">
      <c r="A89" s="105" t="s">
        <v>117</v>
      </c>
      <c r="B89" s="103">
        <v>71</v>
      </c>
    </row>
    <row r="90" spans="1:2">
      <c r="A90" s="105" t="s">
        <v>118</v>
      </c>
      <c r="B90" s="103">
        <v>72</v>
      </c>
    </row>
    <row r="91" spans="1:2">
      <c r="A91" s="105" t="s">
        <v>119</v>
      </c>
      <c r="B91" s="103">
        <v>73</v>
      </c>
    </row>
    <row r="92" spans="1:2">
      <c r="A92" s="111" t="s">
        <v>120</v>
      </c>
      <c r="B92" s="103">
        <v>74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selection activeCell="K10" sqref="K10"/>
    </sheetView>
  </sheetViews>
  <sheetFormatPr defaultColWidth="9.109375" defaultRowHeight="13.2"/>
  <cols>
    <col min="1" max="1" width="4.88671875" style="25" customWidth="1"/>
    <col min="2" max="2" width="52.88671875" style="25" customWidth="1"/>
    <col min="3" max="3" width="21.6640625" style="25" customWidth="1"/>
    <col min="4" max="4" width="18.109375" style="25" customWidth="1"/>
    <col min="5" max="5" width="28.5546875" style="25" customWidth="1"/>
    <col min="6" max="6" width="18" style="25" customWidth="1"/>
    <col min="7" max="7" width="22.109375" style="25" customWidth="1"/>
    <col min="8" max="8" width="17.44140625" style="25" customWidth="1"/>
    <col min="9" max="16384" width="9.109375" style="25"/>
  </cols>
  <sheetData>
    <row r="1" spans="1:8">
      <c r="B1" s="29" t="s">
        <v>271</v>
      </c>
    </row>
    <row r="5" spans="1:8">
      <c r="B5" s="28" t="s">
        <v>172</v>
      </c>
      <c r="C5" s="209" t="s">
        <v>192</v>
      </c>
      <c r="D5" s="209" t="s">
        <v>193</v>
      </c>
      <c r="E5" s="209" t="s">
        <v>211</v>
      </c>
      <c r="F5" s="209" t="s">
        <v>212</v>
      </c>
      <c r="G5" s="209" t="s">
        <v>213</v>
      </c>
      <c r="H5" s="209" t="s">
        <v>214</v>
      </c>
    </row>
    <row r="6" spans="1:8">
      <c r="B6" s="28" t="s">
        <v>1444</v>
      </c>
      <c r="C6" s="303" t="s">
        <v>259</v>
      </c>
      <c r="D6" s="303"/>
      <c r="E6" s="303" t="s">
        <v>260</v>
      </c>
      <c r="F6" s="303"/>
      <c r="G6" s="28"/>
      <c r="H6" s="28"/>
    </row>
    <row r="7" spans="1:8" ht="26.4">
      <c r="B7" s="28" t="s">
        <v>261</v>
      </c>
      <c r="C7" s="53" t="s">
        <v>262</v>
      </c>
      <c r="D7" s="53" t="s">
        <v>263</v>
      </c>
      <c r="E7" s="53" t="s">
        <v>262</v>
      </c>
      <c r="F7" s="53" t="s">
        <v>263</v>
      </c>
      <c r="G7" s="53" t="s">
        <v>1443</v>
      </c>
      <c r="H7" s="53" t="s">
        <v>1446</v>
      </c>
    </row>
    <row r="8" spans="1:8">
      <c r="A8" s="25">
        <v>1</v>
      </c>
      <c r="B8" s="25" t="s">
        <v>196</v>
      </c>
      <c r="C8" s="48">
        <v>1253532.3092400001</v>
      </c>
      <c r="D8" s="48">
        <v>100255.45206</v>
      </c>
      <c r="E8" s="48">
        <v>1278416.4005699998</v>
      </c>
      <c r="F8" s="48">
        <v>0</v>
      </c>
      <c r="G8" s="48">
        <v>920.48752999999999</v>
      </c>
      <c r="H8" s="214">
        <f>G8/SUM(C8:D8)</f>
        <v>6.7993488810689541E-4</v>
      </c>
    </row>
    <row r="9" spans="1:8">
      <c r="A9" s="25">
        <v>2</v>
      </c>
      <c r="B9" s="25" t="s">
        <v>202</v>
      </c>
      <c r="C9" s="48">
        <v>19.806930000000001</v>
      </c>
      <c r="D9" s="48">
        <v>0</v>
      </c>
      <c r="E9" s="48">
        <v>19.806930000000001</v>
      </c>
      <c r="F9" s="48">
        <v>0</v>
      </c>
      <c r="G9" s="48">
        <v>3.9607800000000002</v>
      </c>
      <c r="H9" s="214">
        <f>G9/SUM(C9:D9)</f>
        <v>0.19996940464776722</v>
      </c>
    </row>
    <row r="10" spans="1:8">
      <c r="A10" s="25">
        <v>3</v>
      </c>
      <c r="B10" s="25" t="s">
        <v>203</v>
      </c>
      <c r="C10" s="48">
        <v>9.9989599999999985</v>
      </c>
      <c r="D10" s="48">
        <v>0</v>
      </c>
      <c r="E10" s="48">
        <v>9.9989600000000003</v>
      </c>
      <c r="F10" s="48">
        <v>0</v>
      </c>
      <c r="G10" s="48">
        <v>1.99949</v>
      </c>
      <c r="H10" s="214">
        <f>G10/SUM(C10:D10)</f>
        <v>0.19996979685887334</v>
      </c>
    </row>
    <row r="11" spans="1:8">
      <c r="A11" s="25">
        <v>4</v>
      </c>
      <c r="B11" s="25" t="s">
        <v>265</v>
      </c>
      <c r="C11" s="48">
        <v>1788.2578700000001</v>
      </c>
      <c r="D11" s="48">
        <v>0</v>
      </c>
      <c r="E11" s="48">
        <v>10884.37744</v>
      </c>
      <c r="F11" s="48">
        <v>0</v>
      </c>
      <c r="G11" s="48">
        <v>0</v>
      </c>
      <c r="H11" s="214">
        <f t="shared" ref="H11:H19" si="0">G11/SUM(C11:D11)</f>
        <v>0</v>
      </c>
    </row>
    <row r="12" spans="1:8">
      <c r="A12" s="25">
        <v>5</v>
      </c>
      <c r="B12" s="25" t="s">
        <v>197</v>
      </c>
      <c r="C12" s="48">
        <v>29689.541249999998</v>
      </c>
      <c r="D12" s="48">
        <v>440.45895000000002</v>
      </c>
      <c r="E12" s="48">
        <v>19850.616639999997</v>
      </c>
      <c r="F12" s="48">
        <v>78.188000000000002</v>
      </c>
      <c r="G12" s="48">
        <v>4183.3308100000004</v>
      </c>
      <c r="H12" s="214">
        <f>G12/SUM(C12:D12)</f>
        <v>0.1388427076744593</v>
      </c>
    </row>
    <row r="13" spans="1:8">
      <c r="A13" s="25">
        <v>6</v>
      </c>
      <c r="B13" s="25" t="s">
        <v>267</v>
      </c>
      <c r="C13" s="48">
        <v>827527.35722999997</v>
      </c>
      <c r="D13" s="48">
        <v>217762.09062999999</v>
      </c>
      <c r="E13" s="48">
        <v>812611.70364999992</v>
      </c>
      <c r="F13" s="48">
        <v>20600.821059000002</v>
      </c>
      <c r="G13" s="48">
        <v>819176.92263000004</v>
      </c>
      <c r="H13" s="214">
        <f>G13/SUM(C13:D13)</f>
        <v>0.78368429367299597</v>
      </c>
    </row>
    <row r="14" spans="1:8">
      <c r="A14" s="25">
        <v>7</v>
      </c>
      <c r="B14" s="25" t="s">
        <v>198</v>
      </c>
      <c r="C14" s="48">
        <v>258774.54652999999</v>
      </c>
      <c r="D14" s="48">
        <v>68692.515729999999</v>
      </c>
      <c r="E14" s="48">
        <v>249547.15956999999</v>
      </c>
      <c r="F14" s="48">
        <v>3053.1403960000002</v>
      </c>
      <c r="G14" s="48">
        <v>167111.54069999998</v>
      </c>
      <c r="H14" s="214">
        <f t="shared" si="0"/>
        <v>0.51031557050863929</v>
      </c>
    </row>
    <row r="15" spans="1:8">
      <c r="A15" s="25">
        <v>8</v>
      </c>
      <c r="B15" s="25" t="s">
        <v>204</v>
      </c>
      <c r="C15" s="48">
        <v>596961.05666999996</v>
      </c>
      <c r="D15" s="48">
        <v>4195.9589400000004</v>
      </c>
      <c r="E15" s="48">
        <v>596961.05666999996</v>
      </c>
      <c r="F15" s="48">
        <v>0</v>
      </c>
      <c r="G15" s="48">
        <v>208696.45116</v>
      </c>
      <c r="H15" s="214">
        <f>G15/SUM(C15:D15)</f>
        <v>0.3471579732763056</v>
      </c>
    </row>
    <row r="16" spans="1:8">
      <c r="A16" s="25">
        <v>9</v>
      </c>
      <c r="B16" s="25" t="s">
        <v>205</v>
      </c>
      <c r="C16" s="48">
        <v>4134.0652099999998</v>
      </c>
      <c r="D16" s="48">
        <v>10.77393</v>
      </c>
      <c r="E16" s="48">
        <v>4131.4665700000005</v>
      </c>
      <c r="F16" s="48">
        <v>1.4369620000000001</v>
      </c>
      <c r="G16" s="48">
        <v>5386.7758099999992</v>
      </c>
      <c r="H16" s="214">
        <f t="shared" si="0"/>
        <v>1.2996344678408918</v>
      </c>
    </row>
    <row r="17" spans="1:8">
      <c r="A17" s="25">
        <v>10</v>
      </c>
      <c r="B17" s="25" t="s">
        <v>269</v>
      </c>
      <c r="C17" s="48">
        <v>8131.5129500000003</v>
      </c>
      <c r="D17" s="48">
        <v>0</v>
      </c>
      <c r="E17" s="48">
        <v>8131.5129500000003</v>
      </c>
      <c r="F17" s="48">
        <v>0</v>
      </c>
      <c r="G17" s="48">
        <v>8051.5129500000003</v>
      </c>
      <c r="H17" s="214">
        <f t="shared" si="0"/>
        <v>0.9901617324485722</v>
      </c>
    </row>
    <row r="18" spans="1:8">
      <c r="A18" s="25">
        <v>11</v>
      </c>
      <c r="B18" s="25" t="s">
        <v>270</v>
      </c>
      <c r="C18" s="48">
        <v>31811.69254</v>
      </c>
      <c r="D18" s="48">
        <v>0</v>
      </c>
      <c r="E18" s="48">
        <v>31811.69254</v>
      </c>
      <c r="F18" s="48">
        <v>0</v>
      </c>
      <c r="G18" s="48">
        <v>17801.181379999998</v>
      </c>
      <c r="H18" s="214">
        <f t="shared" si="0"/>
        <v>0.55957982611635027</v>
      </c>
    </row>
    <row r="19" spans="1:8">
      <c r="A19" s="25">
        <v>12</v>
      </c>
      <c r="B19" s="25" t="s">
        <v>209</v>
      </c>
      <c r="C19" s="48">
        <v>3012380.1453800001</v>
      </c>
      <c r="D19" s="48">
        <v>391357.25024000002</v>
      </c>
      <c r="E19" s="48">
        <v>3012375.7924899999</v>
      </c>
      <c r="F19" s="48">
        <v>23733.586416999999</v>
      </c>
      <c r="G19" s="48">
        <v>1231334.1632399999</v>
      </c>
      <c r="H19" s="214">
        <f t="shared" si="0"/>
        <v>0.36175944854750142</v>
      </c>
    </row>
    <row r="21" spans="1:8">
      <c r="B21" s="28" t="s">
        <v>173</v>
      </c>
      <c r="C21" s="28"/>
      <c r="D21" s="28"/>
      <c r="E21" s="28"/>
      <c r="F21" s="28"/>
      <c r="G21" s="28"/>
      <c r="H21" s="28"/>
    </row>
    <row r="22" spans="1:8">
      <c r="B22" s="28" t="s">
        <v>1444</v>
      </c>
      <c r="C22" s="303" t="s">
        <v>259</v>
      </c>
      <c r="D22" s="303"/>
      <c r="E22" s="303" t="s">
        <v>260</v>
      </c>
      <c r="F22" s="303"/>
      <c r="G22" s="28"/>
      <c r="H22" s="28"/>
    </row>
    <row r="23" spans="1:8" ht="26.4">
      <c r="B23" s="28" t="s">
        <v>261</v>
      </c>
      <c r="C23" s="54" t="s">
        <v>262</v>
      </c>
      <c r="D23" s="54" t="s">
        <v>263</v>
      </c>
      <c r="E23" s="54" t="s">
        <v>262</v>
      </c>
      <c r="F23" s="54" t="s">
        <v>263</v>
      </c>
      <c r="G23" s="54" t="s">
        <v>1443</v>
      </c>
      <c r="H23" s="54" t="s">
        <v>1446</v>
      </c>
    </row>
    <row r="24" spans="1:8">
      <c r="A24" s="25">
        <v>1</v>
      </c>
      <c r="B24" s="25" t="s">
        <v>196</v>
      </c>
      <c r="C24" s="48">
        <v>659205.55462999991</v>
      </c>
      <c r="D24" s="48">
        <v>266.65259999999995</v>
      </c>
      <c r="E24" s="48">
        <v>673110.58104999969</v>
      </c>
      <c r="F24" s="48">
        <v>0</v>
      </c>
      <c r="G24" s="48">
        <v>938.62506000000008</v>
      </c>
      <c r="H24" s="214">
        <f>G24/SUM(C24+D24)</f>
        <v>1.4232973728226302E-3</v>
      </c>
    </row>
    <row r="25" spans="1:8">
      <c r="A25" s="25">
        <v>2</v>
      </c>
      <c r="B25" s="25" t="s">
        <v>202</v>
      </c>
      <c r="C25" s="48">
        <v>29.4437</v>
      </c>
      <c r="D25" s="48">
        <v>0</v>
      </c>
      <c r="E25" s="48">
        <v>29.4437</v>
      </c>
      <c r="F25" s="48">
        <v>0</v>
      </c>
      <c r="G25" s="48">
        <v>5.8873500000000005</v>
      </c>
      <c r="H25" s="214">
        <f t="shared" ref="H25:H35" si="1">G25/SUM(C25+D25)</f>
        <v>0.19995279125925072</v>
      </c>
    </row>
    <row r="26" spans="1:8">
      <c r="A26" s="25">
        <v>3</v>
      </c>
      <c r="B26" s="25" t="s">
        <v>203</v>
      </c>
      <c r="C26" s="48">
        <v>623.87461000000008</v>
      </c>
      <c r="D26" s="48">
        <v>0</v>
      </c>
      <c r="E26" s="48">
        <v>623.87461000000008</v>
      </c>
      <c r="F26" s="48">
        <v>0</v>
      </c>
      <c r="G26" s="48">
        <v>124.56397</v>
      </c>
      <c r="H26" s="214">
        <f t="shared" si="1"/>
        <v>0.19966186795131793</v>
      </c>
    </row>
    <row r="27" spans="1:8">
      <c r="A27" s="25">
        <v>4</v>
      </c>
      <c r="B27" s="25" t="s">
        <v>265</v>
      </c>
      <c r="C27" s="48">
        <v>18439.06223</v>
      </c>
      <c r="D27" s="48">
        <v>0</v>
      </c>
      <c r="E27" s="48">
        <v>24651.025109999999</v>
      </c>
      <c r="F27" s="48">
        <v>0</v>
      </c>
      <c r="G27" s="48">
        <v>0</v>
      </c>
      <c r="H27" s="214">
        <f t="shared" si="1"/>
        <v>0</v>
      </c>
    </row>
    <row r="28" spans="1:8">
      <c r="A28" s="25">
        <v>5</v>
      </c>
      <c r="B28" s="25" t="s">
        <v>197</v>
      </c>
      <c r="C28" s="48">
        <v>25910.30269</v>
      </c>
      <c r="D28" s="48">
        <v>49.68309</v>
      </c>
      <c r="E28" s="48">
        <v>25910.302689999997</v>
      </c>
      <c r="F28" s="48">
        <v>0</v>
      </c>
      <c r="G28" s="48">
        <v>5375.7352759999994</v>
      </c>
      <c r="H28" s="214">
        <f t="shared" si="1"/>
        <v>0.20707774347632943</v>
      </c>
    </row>
    <row r="29" spans="1:8">
      <c r="A29" s="25">
        <v>6</v>
      </c>
      <c r="B29" s="25" t="s">
        <v>267</v>
      </c>
      <c r="C29" s="48">
        <v>591170.24900000123</v>
      </c>
      <c r="D29" s="48">
        <v>161712.43623000002</v>
      </c>
      <c r="E29" s="48">
        <v>578661.25313000125</v>
      </c>
      <c r="F29" s="48">
        <v>11368.627801999985</v>
      </c>
      <c r="G29" s="48">
        <v>579836.55114500003</v>
      </c>
      <c r="H29" s="214">
        <f t="shared" si="1"/>
        <v>0.77015524798244417</v>
      </c>
    </row>
    <row r="30" spans="1:8">
      <c r="A30" s="25">
        <v>7</v>
      </c>
      <c r="B30" s="25" t="s">
        <v>198</v>
      </c>
      <c r="C30" s="48">
        <v>205689.45090000055</v>
      </c>
      <c r="D30" s="48">
        <v>31019.440240000182</v>
      </c>
      <c r="E30" s="48">
        <v>200943.96675000055</v>
      </c>
      <c r="F30" s="48">
        <v>3378.9428500001709</v>
      </c>
      <c r="G30" s="48">
        <v>133249.79728500001</v>
      </c>
      <c r="H30" s="214">
        <f t="shared" si="1"/>
        <v>0.56292687884795101</v>
      </c>
    </row>
    <row r="31" spans="1:8">
      <c r="A31" s="25">
        <v>8</v>
      </c>
      <c r="B31" s="25" t="s">
        <v>204</v>
      </c>
      <c r="C31" s="48">
        <v>114030.29643999992</v>
      </c>
      <c r="D31" s="48">
        <v>1136.7612100000001</v>
      </c>
      <c r="E31" s="48">
        <v>114030.29643999992</v>
      </c>
      <c r="F31" s="48">
        <v>0</v>
      </c>
      <c r="G31" s="48">
        <v>39902.882990000006</v>
      </c>
      <c r="H31" s="214">
        <f t="shared" si="1"/>
        <v>0.34647827082000682</v>
      </c>
    </row>
    <row r="32" spans="1:8">
      <c r="A32" s="25">
        <v>9</v>
      </c>
      <c r="B32" s="25" t="s">
        <v>205</v>
      </c>
      <c r="C32" s="48">
        <v>14367.575870000001</v>
      </c>
      <c r="D32" s="48">
        <v>422.90259000000003</v>
      </c>
      <c r="E32" s="48">
        <v>13704.092310000002</v>
      </c>
      <c r="F32" s="48">
        <v>84.504399999999961</v>
      </c>
      <c r="G32" s="48">
        <v>9835.4651699999995</v>
      </c>
      <c r="H32" s="214">
        <f t="shared" si="1"/>
        <v>0.66498627455490711</v>
      </c>
    </row>
    <row r="33" spans="1:8">
      <c r="A33" s="25">
        <v>10</v>
      </c>
      <c r="B33" s="25" t="s">
        <v>207</v>
      </c>
      <c r="C33" s="48">
        <v>8042.652399999999</v>
      </c>
      <c r="D33" s="48">
        <v>0</v>
      </c>
      <c r="E33" s="48">
        <v>8042.652399999999</v>
      </c>
      <c r="F33" s="48">
        <v>0</v>
      </c>
      <c r="G33" s="48">
        <v>7962.6523999999999</v>
      </c>
      <c r="H33" s="214">
        <f t="shared" si="1"/>
        <v>0.99005303275322465</v>
      </c>
    </row>
    <row r="34" spans="1:8">
      <c r="A34" s="25">
        <v>11</v>
      </c>
      <c r="B34" s="25" t="s">
        <v>270</v>
      </c>
      <c r="C34" s="48">
        <v>15084.299550000002</v>
      </c>
      <c r="D34" s="48">
        <v>0</v>
      </c>
      <c r="E34" s="48">
        <v>15084.299550000002</v>
      </c>
      <c r="F34" s="48">
        <v>0</v>
      </c>
      <c r="G34" s="48">
        <v>10551.12297</v>
      </c>
      <c r="H34" s="214">
        <f t="shared" si="1"/>
        <v>0.69947715735995175</v>
      </c>
    </row>
    <row r="35" spans="1:8">
      <c r="A35" s="25">
        <v>12</v>
      </c>
      <c r="B35" s="25" t="s">
        <v>209</v>
      </c>
      <c r="C35" s="48">
        <v>1652592.7620200017</v>
      </c>
      <c r="D35" s="48">
        <v>194607.87596000021</v>
      </c>
      <c r="E35" s="48">
        <v>1654791.7877400015</v>
      </c>
      <c r="F35" s="48">
        <v>14832.075052000157</v>
      </c>
      <c r="G35" s="48">
        <v>787783.28361600009</v>
      </c>
      <c r="H35" s="214">
        <f t="shared" si="1"/>
        <v>0.42647412924103195</v>
      </c>
    </row>
    <row r="45" spans="1:8">
      <c r="C45" s="48"/>
      <c r="D45" s="48"/>
      <c r="E45" s="48"/>
      <c r="F45" s="48"/>
      <c r="G45" s="48"/>
      <c r="H45" s="48"/>
    </row>
  </sheetData>
  <mergeCells count="4">
    <mergeCell ref="C6:D6"/>
    <mergeCell ref="E6:F6"/>
    <mergeCell ref="C22:D22"/>
    <mergeCell ref="E22:F2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workbookViewId="0">
      <selection activeCell="U17" sqref="U17"/>
    </sheetView>
  </sheetViews>
  <sheetFormatPr defaultColWidth="9.109375" defaultRowHeight="13.2"/>
  <cols>
    <col min="1" max="1" width="5" style="10" customWidth="1"/>
    <col min="2" max="2" width="53.6640625" style="10" customWidth="1"/>
    <col min="3" max="16" width="9.109375" style="10"/>
    <col min="17" max="17" width="13.33203125" style="10" customWidth="1"/>
    <col min="18" max="18" width="13.6640625" style="10" customWidth="1"/>
    <col min="19" max="16384" width="9.109375" style="10"/>
  </cols>
  <sheetData>
    <row r="1" spans="1:18">
      <c r="B1" s="11" t="s">
        <v>276</v>
      </c>
    </row>
    <row r="5" spans="1:18">
      <c r="B5" s="12" t="s">
        <v>172</v>
      </c>
      <c r="C5" s="12"/>
      <c r="D5" s="12"/>
      <c r="E5" s="12"/>
      <c r="F5" s="12"/>
      <c r="G5" s="12"/>
      <c r="H5" s="12"/>
      <c r="I5" s="12"/>
      <c r="J5" s="12"/>
      <c r="K5" s="12"/>
      <c r="L5" s="12"/>
      <c r="M5" s="12"/>
      <c r="N5" s="12"/>
      <c r="O5" s="12"/>
      <c r="P5" s="12"/>
      <c r="Q5" s="12"/>
      <c r="R5" s="12"/>
    </row>
    <row r="6" spans="1:18">
      <c r="B6" s="13" t="s">
        <v>1444</v>
      </c>
      <c r="C6" s="302" t="s">
        <v>273</v>
      </c>
      <c r="D6" s="302"/>
      <c r="E6" s="302"/>
      <c r="F6" s="302"/>
      <c r="G6" s="302"/>
      <c r="H6" s="302"/>
      <c r="I6" s="302"/>
      <c r="J6" s="302"/>
      <c r="K6" s="302"/>
      <c r="L6" s="302"/>
      <c r="M6" s="302"/>
      <c r="N6" s="302"/>
      <c r="O6" s="302"/>
      <c r="P6" s="302"/>
      <c r="Q6" s="302"/>
      <c r="R6" s="302"/>
    </row>
    <row r="7" spans="1:18">
      <c r="B7" s="13" t="s">
        <v>274</v>
      </c>
      <c r="C7" s="56" t="s">
        <v>275</v>
      </c>
      <c r="D7" s="56">
        <v>0.02</v>
      </c>
      <c r="E7" s="56">
        <v>0.04</v>
      </c>
      <c r="F7" s="56">
        <v>0.1</v>
      </c>
      <c r="G7" s="56">
        <v>0.2</v>
      </c>
      <c r="H7" s="56">
        <v>0.35</v>
      </c>
      <c r="I7" s="56">
        <v>0.5</v>
      </c>
      <c r="J7" s="56">
        <v>0.7</v>
      </c>
      <c r="K7" s="56">
        <v>0.75</v>
      </c>
      <c r="L7" s="56">
        <v>1</v>
      </c>
      <c r="M7" s="56">
        <v>1.5</v>
      </c>
      <c r="N7" s="56">
        <v>2.5</v>
      </c>
      <c r="O7" s="56">
        <v>3.7</v>
      </c>
      <c r="P7" s="56">
        <v>12.5</v>
      </c>
      <c r="Q7" s="13" t="s">
        <v>107</v>
      </c>
      <c r="R7" s="13" t="s">
        <v>209</v>
      </c>
    </row>
    <row r="8" spans="1:18">
      <c r="A8" s="10">
        <v>1</v>
      </c>
      <c r="B8" s="10" t="s">
        <v>196</v>
      </c>
      <c r="C8" s="43">
        <f>1349185323.64/1000</f>
        <v>1349185.3236400001</v>
      </c>
      <c r="D8" s="43"/>
      <c r="E8" s="43"/>
      <c r="F8" s="43"/>
      <c r="G8" s="43">
        <f>4602437.66/1000</f>
        <v>4602.4376600000005</v>
      </c>
      <c r="H8" s="43"/>
      <c r="I8" s="43"/>
      <c r="J8" s="43"/>
      <c r="K8" s="43"/>
      <c r="L8" s="43"/>
      <c r="M8" s="43"/>
      <c r="N8" s="43"/>
      <c r="O8" s="43"/>
      <c r="P8" s="43"/>
      <c r="Q8" s="43"/>
      <c r="R8" s="43">
        <f>SUM(C8:Q8)</f>
        <v>1353787.7613000001</v>
      </c>
    </row>
    <row r="9" spans="1:18">
      <c r="A9" s="10">
        <v>2</v>
      </c>
      <c r="B9" s="10" t="s">
        <v>202</v>
      </c>
      <c r="C9" s="43"/>
      <c r="D9" s="43"/>
      <c r="E9" s="43"/>
      <c r="F9" s="43"/>
      <c r="G9" s="43">
        <f>19806.93/1000</f>
        <v>19.806930000000001</v>
      </c>
      <c r="H9" s="43"/>
      <c r="I9" s="43"/>
      <c r="J9" s="43"/>
      <c r="K9" s="43"/>
      <c r="L9" s="43"/>
      <c r="M9" s="43"/>
      <c r="N9" s="43"/>
      <c r="O9" s="43"/>
      <c r="P9" s="43"/>
      <c r="Q9" s="43"/>
      <c r="R9" s="43">
        <f t="shared" ref="R9:R19" si="0">SUM(C9:Q9)</f>
        <v>19.806930000000001</v>
      </c>
    </row>
    <row r="10" spans="1:18">
      <c r="A10" s="10">
        <v>3</v>
      </c>
      <c r="B10" s="10" t="s">
        <v>203</v>
      </c>
      <c r="C10" s="43"/>
      <c r="D10" s="43"/>
      <c r="E10" s="43"/>
      <c r="F10" s="43"/>
      <c r="G10" s="43">
        <f>9998.96/1000</f>
        <v>9.9989599999999985</v>
      </c>
      <c r="H10" s="43"/>
      <c r="I10" s="43"/>
      <c r="J10" s="43"/>
      <c r="K10" s="43"/>
      <c r="L10" s="43"/>
      <c r="M10" s="43"/>
      <c r="N10" s="43"/>
      <c r="O10" s="43"/>
      <c r="P10" s="43"/>
      <c r="Q10" s="43"/>
      <c r="R10" s="43">
        <f t="shared" si="0"/>
        <v>9.9989599999999985</v>
      </c>
    </row>
    <row r="11" spans="1:18">
      <c r="A11" s="10">
        <v>4</v>
      </c>
      <c r="B11" s="10" t="s">
        <v>265</v>
      </c>
      <c r="C11" s="43">
        <f>1788257.87/1000</f>
        <v>1788.2578700000001</v>
      </c>
      <c r="D11" s="43"/>
      <c r="E11" s="43"/>
      <c r="F11" s="43"/>
      <c r="G11" s="43"/>
      <c r="H11" s="43"/>
      <c r="I11" s="43"/>
      <c r="J11" s="43"/>
      <c r="K11" s="43"/>
      <c r="L11" s="43"/>
      <c r="M11" s="43"/>
      <c r="N11" s="43"/>
      <c r="O11" s="43"/>
      <c r="P11" s="43"/>
      <c r="Q11" s="43"/>
      <c r="R11" s="43">
        <f t="shared" si="0"/>
        <v>1788.2578700000001</v>
      </c>
    </row>
    <row r="12" spans="1:18">
      <c r="A12" s="10">
        <v>5</v>
      </c>
      <c r="B12" s="10" t="s">
        <v>266</v>
      </c>
      <c r="C12" s="43"/>
      <c r="D12" s="43"/>
      <c r="E12" s="43"/>
      <c r="F12" s="43"/>
      <c r="G12" s="43">
        <f>29727053.83/1000</f>
        <v>29727.053829999997</v>
      </c>
      <c r="H12" s="43"/>
      <c r="I12" s="43">
        <f>556319.55/1000</f>
        <v>556.31955000000005</v>
      </c>
      <c r="J12" s="43"/>
      <c r="K12" s="43"/>
      <c r="L12" s="43"/>
      <c r="M12" s="43"/>
      <c r="N12" s="43"/>
      <c r="O12" s="43"/>
      <c r="P12" s="43"/>
      <c r="Q12" s="43"/>
      <c r="R12" s="43">
        <f t="shared" si="0"/>
        <v>30283.373379999997</v>
      </c>
    </row>
    <row r="13" spans="1:18">
      <c r="A13" s="10">
        <v>6</v>
      </c>
      <c r="B13" s="10" t="s">
        <v>267</v>
      </c>
      <c r="C13" s="43"/>
      <c r="D13" s="43"/>
      <c r="E13" s="43"/>
      <c r="F13" s="43"/>
      <c r="G13" s="43"/>
      <c r="H13" s="43"/>
      <c r="I13" s="43"/>
      <c r="J13" s="43"/>
      <c r="K13" s="43"/>
      <c r="L13" s="43">
        <f>1048638928.56/1000</f>
        <v>1048638.9285599999</v>
      </c>
      <c r="M13" s="43"/>
      <c r="N13" s="43"/>
      <c r="O13" s="43"/>
      <c r="P13" s="43"/>
      <c r="Q13" s="43"/>
      <c r="R13" s="43">
        <f t="shared" si="0"/>
        <v>1048638.9285599999</v>
      </c>
    </row>
    <row r="14" spans="1:18">
      <c r="A14" s="10">
        <v>7</v>
      </c>
      <c r="B14" s="10" t="s">
        <v>198</v>
      </c>
      <c r="C14" s="43"/>
      <c r="D14" s="43"/>
      <c r="E14" s="43"/>
      <c r="F14" s="43"/>
      <c r="G14" s="43"/>
      <c r="H14" s="43"/>
      <c r="I14" s="43"/>
      <c r="J14" s="43"/>
      <c r="K14" s="43">
        <f>330464591.88/1000</f>
        <v>330464.59188000002</v>
      </c>
      <c r="L14" s="43"/>
      <c r="M14" s="43"/>
      <c r="N14" s="43"/>
      <c r="O14" s="43"/>
      <c r="P14" s="43"/>
      <c r="Q14" s="43"/>
      <c r="R14" s="43">
        <f t="shared" si="0"/>
        <v>330464.59188000002</v>
      </c>
    </row>
    <row r="15" spans="1:18">
      <c r="A15" s="10">
        <v>8</v>
      </c>
      <c r="B15" s="10" t="s">
        <v>204</v>
      </c>
      <c r="C15" s="43"/>
      <c r="D15" s="43"/>
      <c r="E15" s="43"/>
      <c r="F15" s="43"/>
      <c r="G15" s="43"/>
      <c r="H15" s="43">
        <f>601157015.61/1000</f>
        <v>601157.01561</v>
      </c>
      <c r="I15" s="43"/>
      <c r="J15" s="43"/>
      <c r="K15" s="43"/>
      <c r="L15" s="43"/>
      <c r="M15" s="43"/>
      <c r="N15" s="43"/>
      <c r="O15" s="43"/>
      <c r="P15" s="43"/>
      <c r="Q15" s="43"/>
      <c r="R15" s="43">
        <f t="shared" si="0"/>
        <v>601157.01561</v>
      </c>
    </row>
    <row r="16" spans="1:18">
      <c r="A16" s="10">
        <v>9</v>
      </c>
      <c r="B16" s="10" t="s">
        <v>205</v>
      </c>
      <c r="C16" s="43"/>
      <c r="D16" s="43"/>
      <c r="E16" s="43"/>
      <c r="F16" s="43"/>
      <c r="G16" s="43"/>
      <c r="H16" s="43"/>
      <c r="I16" s="43"/>
      <c r="J16" s="43"/>
      <c r="K16" s="43"/>
      <c r="L16" s="43">
        <f>838383.2/1000</f>
        <v>838.38319999999999</v>
      </c>
      <c r="M16" s="43">
        <f>3306455.94/1000</f>
        <v>3306.4559399999998</v>
      </c>
      <c r="N16" s="43"/>
      <c r="O16" s="43"/>
      <c r="P16" s="43"/>
      <c r="Q16" s="43"/>
      <c r="R16" s="43">
        <f t="shared" si="0"/>
        <v>4144.83914</v>
      </c>
    </row>
    <row r="17" spans="1:18">
      <c r="A17" s="10">
        <v>10</v>
      </c>
      <c r="B17" s="10" t="s">
        <v>207</v>
      </c>
      <c r="C17" s="43"/>
      <c r="D17" s="43"/>
      <c r="E17" s="43"/>
      <c r="F17" s="43"/>
      <c r="G17" s="43">
        <f>100000/1000</f>
        <v>100</v>
      </c>
      <c r="H17" s="43"/>
      <c r="I17" s="43"/>
      <c r="J17" s="43"/>
      <c r="K17" s="43"/>
      <c r="L17" s="43">
        <f>8031512.95/1000</f>
        <v>8031.5129500000003</v>
      </c>
      <c r="M17" s="43"/>
      <c r="N17" s="43"/>
      <c r="O17" s="43"/>
      <c r="P17" s="43"/>
      <c r="Q17" s="43"/>
      <c r="R17" s="43">
        <f t="shared" si="0"/>
        <v>8131.5129500000003</v>
      </c>
    </row>
    <row r="18" spans="1:18">
      <c r="A18" s="10">
        <v>11</v>
      </c>
      <c r="B18" s="10" t="s">
        <v>270</v>
      </c>
      <c r="C18" s="43">
        <f>3632.58/1000</f>
        <v>3.6325799999999999</v>
      </c>
      <c r="D18" s="43"/>
      <c r="E18" s="43"/>
      <c r="F18" s="43"/>
      <c r="G18" s="43">
        <f>17508598.22/1000</f>
        <v>17508.59822</v>
      </c>
      <c r="H18" s="43"/>
      <c r="I18" s="43"/>
      <c r="J18" s="43"/>
      <c r="K18" s="43"/>
      <c r="L18" s="43">
        <f>14299461.74/1000</f>
        <v>14299.461740000001</v>
      </c>
      <c r="M18" s="43"/>
      <c r="N18" s="43"/>
      <c r="O18" s="43"/>
      <c r="P18" s="43"/>
      <c r="Q18" s="43"/>
      <c r="R18" s="43">
        <f t="shared" si="0"/>
        <v>31811.692540000004</v>
      </c>
    </row>
    <row r="19" spans="1:18">
      <c r="A19" s="10">
        <v>12</v>
      </c>
      <c r="B19" s="10" t="s">
        <v>209</v>
      </c>
      <c r="C19" s="43">
        <f>1350977214.09/1000</f>
        <v>1350977.2140899999</v>
      </c>
      <c r="D19" s="43"/>
      <c r="E19" s="43"/>
      <c r="F19" s="43"/>
      <c r="G19" s="43">
        <f>51967895.6/1000</f>
        <v>51967.895600000003</v>
      </c>
      <c r="H19" s="43">
        <f>601157015.61/1000</f>
        <v>601157.01561</v>
      </c>
      <c r="I19" s="43">
        <f>556319.55/1000</f>
        <v>556.31955000000005</v>
      </c>
      <c r="J19" s="43"/>
      <c r="K19" s="43">
        <f>330464591.88/1000</f>
        <v>330464.59188000002</v>
      </c>
      <c r="L19" s="43">
        <f>1071808286.45/1000</f>
        <v>1071808.28645</v>
      </c>
      <c r="M19" s="43">
        <f>3306455.94/1000</f>
        <v>3306.4559399999998</v>
      </c>
      <c r="N19" s="43"/>
      <c r="O19" s="43"/>
      <c r="P19" s="43"/>
      <c r="Q19" s="43"/>
      <c r="R19" s="43">
        <f t="shared" si="0"/>
        <v>3410237.7791199996</v>
      </c>
    </row>
    <row r="25" spans="1:18">
      <c r="B25" s="13" t="s">
        <v>173</v>
      </c>
      <c r="C25" s="13"/>
      <c r="D25" s="13"/>
      <c r="E25" s="13"/>
      <c r="F25" s="13"/>
      <c r="G25" s="13"/>
      <c r="H25" s="13"/>
      <c r="I25" s="13"/>
      <c r="J25" s="13"/>
      <c r="K25" s="13"/>
      <c r="L25" s="13"/>
      <c r="M25" s="13"/>
      <c r="N25" s="13"/>
      <c r="O25" s="13"/>
      <c r="P25" s="13"/>
      <c r="Q25" s="13"/>
      <c r="R25" s="13"/>
    </row>
    <row r="26" spans="1:18">
      <c r="B26" s="13" t="s">
        <v>1444</v>
      </c>
      <c r="C26" s="302" t="s">
        <v>273</v>
      </c>
      <c r="D26" s="302"/>
      <c r="E26" s="302"/>
      <c r="F26" s="302"/>
      <c r="G26" s="302"/>
      <c r="H26" s="302"/>
      <c r="I26" s="302"/>
      <c r="J26" s="302"/>
      <c r="K26" s="302"/>
      <c r="L26" s="302"/>
      <c r="M26" s="302"/>
      <c r="N26" s="302"/>
      <c r="O26" s="302"/>
      <c r="P26" s="302"/>
      <c r="Q26" s="302"/>
      <c r="R26" s="302"/>
    </row>
    <row r="27" spans="1:18">
      <c r="B27" s="10" t="s">
        <v>274</v>
      </c>
      <c r="C27" s="57" t="s">
        <v>275</v>
      </c>
      <c r="D27" s="57">
        <v>0.02</v>
      </c>
      <c r="E27" s="57">
        <v>0.04</v>
      </c>
      <c r="F27" s="57">
        <v>0.1</v>
      </c>
      <c r="G27" s="57">
        <v>0.2</v>
      </c>
      <c r="H27" s="57">
        <v>0.35</v>
      </c>
      <c r="I27" s="57">
        <v>0.5</v>
      </c>
      <c r="J27" s="57">
        <v>0.7</v>
      </c>
      <c r="K27" s="57">
        <v>0.75</v>
      </c>
      <c r="L27" s="57">
        <v>1</v>
      </c>
      <c r="M27" s="57">
        <v>1.5</v>
      </c>
      <c r="N27" s="57">
        <v>2.5</v>
      </c>
      <c r="O27" s="57">
        <v>3.7</v>
      </c>
      <c r="P27" s="57">
        <v>12.5</v>
      </c>
      <c r="Q27" s="10" t="s">
        <v>107</v>
      </c>
      <c r="R27" s="10" t="s">
        <v>209</v>
      </c>
    </row>
    <row r="28" spans="1:18">
      <c r="A28" s="10">
        <v>1</v>
      </c>
      <c r="B28" s="10" t="s">
        <v>196</v>
      </c>
      <c r="C28" s="43">
        <f>654779081.93/1000</f>
        <v>654779.08192999999</v>
      </c>
      <c r="D28" s="43"/>
      <c r="E28" s="43"/>
      <c r="F28" s="43"/>
      <c r="G28" s="43">
        <f>4693125.3/1000</f>
        <v>4693.1252999999997</v>
      </c>
      <c r="H28" s="43"/>
      <c r="I28" s="43"/>
      <c r="J28" s="43"/>
      <c r="K28" s="43"/>
      <c r="L28" s="43"/>
      <c r="M28" s="43"/>
      <c r="N28" s="43"/>
      <c r="O28" s="43"/>
      <c r="P28" s="43"/>
      <c r="Q28" s="43"/>
      <c r="R28" s="43">
        <f>SUM(C28:Q28)</f>
        <v>659472.20722999994</v>
      </c>
    </row>
    <row r="29" spans="1:18">
      <c r="A29" s="10">
        <v>2</v>
      </c>
      <c r="B29" s="10" t="s">
        <v>202</v>
      </c>
      <c r="C29" s="43"/>
      <c r="D29" s="43"/>
      <c r="E29" s="43"/>
      <c r="F29" s="43"/>
      <c r="G29" s="43">
        <f>29443.7/1000</f>
        <v>29.4437</v>
      </c>
      <c r="H29" s="43"/>
      <c r="I29" s="43"/>
      <c r="J29" s="43"/>
      <c r="K29" s="43"/>
      <c r="L29" s="43"/>
      <c r="M29" s="43"/>
      <c r="N29" s="43"/>
      <c r="O29" s="43"/>
      <c r="P29" s="43"/>
      <c r="Q29" s="43"/>
      <c r="R29" s="43">
        <f t="shared" ref="R29:R39" si="1">SUM(C29:Q29)</f>
        <v>29.4437</v>
      </c>
    </row>
    <row r="30" spans="1:18">
      <c r="A30" s="10">
        <v>3</v>
      </c>
      <c r="B30" s="10" t="s">
        <v>203</v>
      </c>
      <c r="C30" s="43"/>
      <c r="D30" s="43"/>
      <c r="E30" s="43"/>
      <c r="F30" s="43"/>
      <c r="G30" s="43">
        <f>623874.61/1000</f>
        <v>623.87460999999996</v>
      </c>
      <c r="H30" s="43"/>
      <c r="I30" s="43"/>
      <c r="J30" s="43"/>
      <c r="K30" s="43"/>
      <c r="L30" s="43"/>
      <c r="M30" s="43"/>
      <c r="N30" s="43"/>
      <c r="O30" s="43"/>
      <c r="P30" s="43"/>
      <c r="Q30" s="43"/>
      <c r="R30" s="43">
        <f t="shared" si="1"/>
        <v>623.87460999999996</v>
      </c>
    </row>
    <row r="31" spans="1:18">
      <c r="A31" s="10">
        <v>4</v>
      </c>
      <c r="B31" s="10" t="s">
        <v>265</v>
      </c>
      <c r="C31" s="43">
        <f>18439062.23/1000</f>
        <v>18439.06223</v>
      </c>
      <c r="D31" s="43"/>
      <c r="E31" s="43"/>
      <c r="F31" s="43"/>
      <c r="G31" s="43"/>
      <c r="H31" s="43"/>
      <c r="I31" s="43"/>
      <c r="J31" s="43"/>
      <c r="K31" s="43"/>
      <c r="L31" s="43"/>
      <c r="M31" s="43"/>
      <c r="N31" s="43"/>
      <c r="O31" s="43"/>
      <c r="P31" s="43"/>
      <c r="Q31" s="43"/>
      <c r="R31" s="43">
        <f t="shared" si="1"/>
        <v>18439.06223</v>
      </c>
    </row>
    <row r="32" spans="1:18">
      <c r="A32" s="10">
        <v>5</v>
      </c>
      <c r="B32" s="10" t="s">
        <v>197</v>
      </c>
      <c r="C32" s="43"/>
      <c r="D32" s="43"/>
      <c r="E32" s="43"/>
      <c r="F32" s="43"/>
      <c r="G32" s="43">
        <f>25677385.1/1000</f>
        <v>25677.385100000003</v>
      </c>
      <c r="H32" s="43"/>
      <c r="I32" s="43">
        <f>500390.48/1000</f>
        <v>500.39047999999997</v>
      </c>
      <c r="J32" s="43"/>
      <c r="K32" s="43"/>
      <c r="L32" s="43"/>
      <c r="M32" s="43"/>
      <c r="N32" s="43"/>
      <c r="O32" s="43"/>
      <c r="P32" s="43"/>
      <c r="Q32" s="43"/>
      <c r="R32" s="43">
        <f t="shared" si="1"/>
        <v>26177.775580000001</v>
      </c>
    </row>
    <row r="33" spans="1:18">
      <c r="A33" s="10">
        <v>6</v>
      </c>
      <c r="B33" s="10" t="s">
        <v>267</v>
      </c>
      <c r="C33" s="43"/>
      <c r="D33" s="43"/>
      <c r="E33" s="43"/>
      <c r="F33" s="43"/>
      <c r="G33" s="43"/>
      <c r="H33" s="43"/>
      <c r="I33" s="43"/>
      <c r="J33" s="43"/>
      <c r="K33" s="43"/>
      <c r="L33" s="43">
        <f>755303720.760001/1000</f>
        <v>755303.72076000099</v>
      </c>
      <c r="M33" s="43"/>
      <c r="N33" s="43"/>
      <c r="O33" s="43"/>
      <c r="P33" s="43"/>
      <c r="Q33" s="43"/>
      <c r="R33" s="43">
        <f t="shared" si="1"/>
        <v>755303.72076000099</v>
      </c>
    </row>
    <row r="34" spans="1:18">
      <c r="A34" s="10">
        <v>7</v>
      </c>
      <c r="B34" s="10" t="s">
        <v>198</v>
      </c>
      <c r="C34" s="43"/>
      <c r="D34" s="43"/>
      <c r="E34" s="43"/>
      <c r="F34" s="43"/>
      <c r="G34" s="43"/>
      <c r="H34" s="43"/>
      <c r="I34" s="43"/>
      <c r="J34" s="43"/>
      <c r="K34" s="43">
        <f>238609280.420001/1000</f>
        <v>238609.28042000101</v>
      </c>
      <c r="L34" s="43"/>
      <c r="M34" s="43"/>
      <c r="N34" s="43"/>
      <c r="O34" s="43"/>
      <c r="P34" s="43"/>
      <c r="Q34" s="43"/>
      <c r="R34" s="43">
        <f t="shared" si="1"/>
        <v>238609.28042000101</v>
      </c>
    </row>
    <row r="35" spans="1:18">
      <c r="A35" s="10">
        <v>8</v>
      </c>
      <c r="B35" s="10" t="s">
        <v>204</v>
      </c>
      <c r="C35" s="43"/>
      <c r="D35" s="43"/>
      <c r="E35" s="43"/>
      <c r="F35" s="43"/>
      <c r="G35" s="43"/>
      <c r="H35" s="43">
        <f>115167057.65/1000</f>
        <v>115167.05765</v>
      </c>
      <c r="I35" s="43"/>
      <c r="J35" s="43"/>
      <c r="K35" s="43"/>
      <c r="L35" s="43"/>
      <c r="M35" s="43"/>
      <c r="N35" s="43"/>
      <c r="O35" s="43"/>
      <c r="P35" s="43"/>
      <c r="Q35" s="43"/>
      <c r="R35" s="43">
        <f t="shared" si="1"/>
        <v>115167.05765</v>
      </c>
    </row>
    <row r="36" spans="1:18">
      <c r="A36" s="10">
        <v>9</v>
      </c>
      <c r="B36" s="10" t="s">
        <v>205</v>
      </c>
      <c r="C36" s="43"/>
      <c r="D36" s="43"/>
      <c r="E36" s="43"/>
      <c r="F36" s="43"/>
      <c r="G36" s="43"/>
      <c r="H36" s="43"/>
      <c r="I36" s="43"/>
      <c r="J36" s="43"/>
      <c r="K36" s="43"/>
      <c r="L36" s="43">
        <f>9514792.16/1000</f>
        <v>9514.7921600000009</v>
      </c>
      <c r="M36" s="43">
        <f>5275686.3/1000</f>
        <v>5275.6862999999994</v>
      </c>
      <c r="N36" s="43"/>
      <c r="O36" s="43"/>
      <c r="P36" s="43"/>
      <c r="Q36" s="43"/>
      <c r="R36" s="43">
        <f t="shared" si="1"/>
        <v>14790.47846</v>
      </c>
    </row>
    <row r="37" spans="1:18">
      <c r="A37" s="10">
        <v>10</v>
      </c>
      <c r="B37" s="10" t="s">
        <v>207</v>
      </c>
      <c r="C37" s="43"/>
      <c r="D37" s="43"/>
      <c r="E37" s="43"/>
      <c r="F37" s="43"/>
      <c r="G37" s="43">
        <f>100000/1000</f>
        <v>100</v>
      </c>
      <c r="H37" s="43"/>
      <c r="I37" s="43"/>
      <c r="J37" s="43"/>
      <c r="K37" s="43"/>
      <c r="L37" s="43">
        <f>7942652.4/1000</f>
        <v>7942.6523999999999</v>
      </c>
      <c r="M37" s="43"/>
      <c r="N37" s="43"/>
      <c r="O37" s="43"/>
      <c r="P37" s="43"/>
      <c r="Q37" s="43"/>
      <c r="R37" s="43">
        <f t="shared" si="1"/>
        <v>8042.6523999999999</v>
      </c>
    </row>
    <row r="38" spans="1:18">
      <c r="A38" s="10">
        <v>11</v>
      </c>
      <c r="B38" s="10" t="s">
        <v>270</v>
      </c>
      <c r="C38" s="43">
        <f>3604.94/1000</f>
        <v>3.60494</v>
      </c>
      <c r="D38" s="43"/>
      <c r="E38" s="43"/>
      <c r="F38" s="43"/>
      <c r="G38" s="43">
        <f>5661964.55/1000</f>
        <v>5661.9645499999997</v>
      </c>
      <c r="H38" s="43"/>
      <c r="I38" s="43"/>
      <c r="J38" s="43"/>
      <c r="K38" s="43"/>
      <c r="L38" s="43">
        <f>9418730.06/1000</f>
        <v>9418.7300599999999</v>
      </c>
      <c r="M38" s="43"/>
      <c r="N38" s="43"/>
      <c r="O38" s="43"/>
      <c r="P38" s="43"/>
      <c r="Q38" s="43"/>
      <c r="R38" s="43">
        <f t="shared" si="1"/>
        <v>15084.29955</v>
      </c>
    </row>
    <row r="39" spans="1:18">
      <c r="A39" s="10">
        <v>12</v>
      </c>
      <c r="B39" s="10" t="s">
        <v>209</v>
      </c>
      <c r="C39" s="43">
        <f>673221749.1/1000</f>
        <v>673221.74910000002</v>
      </c>
      <c r="D39" s="43"/>
      <c r="E39" s="43"/>
      <c r="F39" s="43"/>
      <c r="G39" s="43">
        <f>36785793.26/1000</f>
        <v>36785.793259999999</v>
      </c>
      <c r="H39" s="43">
        <f>115167057.65/1000</f>
        <v>115167.05765</v>
      </c>
      <c r="I39" s="43">
        <f>500390.487/1000</f>
        <v>500.39048700000001</v>
      </c>
      <c r="J39" s="43"/>
      <c r="K39" s="43">
        <f>238609280.420001/1000</f>
        <v>238609.28042000101</v>
      </c>
      <c r="L39" s="43">
        <f>782179895.380001/1000</f>
        <v>782179.89538000093</v>
      </c>
      <c r="M39" s="43">
        <f>5275686.3/1000</f>
        <v>5275.6862999999994</v>
      </c>
      <c r="N39" s="43"/>
      <c r="O39" s="43"/>
      <c r="P39" s="43"/>
      <c r="Q39" s="43"/>
      <c r="R39" s="43">
        <f t="shared" si="1"/>
        <v>1851739.8525970017</v>
      </c>
    </row>
    <row r="40" spans="1:18">
      <c r="C40" s="43"/>
      <c r="D40" s="43"/>
      <c r="E40" s="43"/>
      <c r="F40" s="43"/>
      <c r="G40" s="43"/>
      <c r="H40" s="43"/>
      <c r="I40" s="43"/>
      <c r="J40" s="43"/>
      <c r="K40" s="43"/>
      <c r="L40" s="43"/>
      <c r="M40" s="43"/>
      <c r="N40" s="43"/>
      <c r="O40" s="43"/>
      <c r="P40" s="43"/>
      <c r="Q40" s="43"/>
      <c r="R40" s="43"/>
    </row>
    <row r="41" spans="1:18">
      <c r="C41" s="43"/>
      <c r="D41" s="43"/>
      <c r="E41" s="43"/>
      <c r="F41" s="43"/>
      <c r="G41" s="43"/>
      <c r="H41" s="43"/>
      <c r="I41" s="43"/>
      <c r="J41" s="43"/>
      <c r="K41" s="43"/>
      <c r="L41" s="43"/>
      <c r="M41" s="43"/>
      <c r="N41" s="43"/>
      <c r="O41" s="43"/>
      <c r="P41" s="43"/>
      <c r="Q41" s="43"/>
      <c r="R41" s="43"/>
    </row>
    <row r="42" spans="1:18">
      <c r="C42" s="43"/>
      <c r="D42" s="43"/>
      <c r="E42" s="43"/>
      <c r="F42" s="43"/>
      <c r="G42" s="43"/>
      <c r="H42" s="43"/>
      <c r="I42" s="43"/>
      <c r="J42" s="43"/>
      <c r="K42" s="43"/>
      <c r="L42" s="43"/>
      <c r="M42" s="43"/>
      <c r="N42" s="43"/>
      <c r="O42" s="43"/>
      <c r="P42" s="43"/>
      <c r="Q42" s="43"/>
      <c r="R42" s="43"/>
    </row>
    <row r="43" spans="1:18">
      <c r="C43" s="43"/>
      <c r="D43" s="43"/>
      <c r="E43" s="43"/>
      <c r="F43" s="43"/>
      <c r="G43" s="43"/>
      <c r="H43" s="43"/>
      <c r="I43" s="43"/>
      <c r="J43" s="43"/>
      <c r="K43" s="43"/>
      <c r="L43" s="43"/>
      <c r="M43" s="43"/>
      <c r="N43" s="43"/>
      <c r="O43" s="43"/>
      <c r="P43" s="43"/>
      <c r="Q43" s="43"/>
      <c r="R43" s="43"/>
    </row>
    <row r="44" spans="1:18">
      <c r="C44" s="43"/>
      <c r="D44" s="43"/>
      <c r="E44" s="43"/>
      <c r="F44" s="43"/>
      <c r="G44" s="43"/>
      <c r="H44" s="43"/>
      <c r="I44" s="43"/>
      <c r="J44" s="43"/>
      <c r="K44" s="43"/>
      <c r="L44" s="43"/>
      <c r="M44" s="43"/>
      <c r="N44" s="43"/>
      <c r="O44" s="43"/>
      <c r="P44" s="43"/>
      <c r="Q44" s="43"/>
      <c r="R44" s="43"/>
    </row>
    <row r="45" spans="1:18">
      <c r="C45" s="43"/>
      <c r="D45" s="43"/>
      <c r="E45" s="43"/>
      <c r="F45" s="43"/>
      <c r="G45" s="43"/>
      <c r="H45" s="43"/>
      <c r="I45" s="43"/>
      <c r="J45" s="43"/>
      <c r="K45" s="43"/>
      <c r="L45" s="43"/>
      <c r="M45" s="43"/>
      <c r="N45" s="43"/>
      <c r="O45" s="43"/>
      <c r="P45" s="43"/>
      <c r="Q45" s="43"/>
      <c r="R45" s="43"/>
    </row>
    <row r="46" spans="1:18">
      <c r="C46" s="43"/>
      <c r="D46" s="43"/>
      <c r="E46" s="43"/>
      <c r="F46" s="43"/>
      <c r="G46" s="43"/>
      <c r="H46" s="43"/>
      <c r="I46" s="43"/>
      <c r="J46" s="43"/>
      <c r="K46" s="43"/>
      <c r="L46" s="43"/>
      <c r="M46" s="43"/>
      <c r="N46" s="43"/>
      <c r="O46" s="43"/>
      <c r="P46" s="43"/>
      <c r="Q46" s="43"/>
      <c r="R46" s="43"/>
    </row>
    <row r="47" spans="1:18">
      <c r="C47" s="43"/>
      <c r="D47" s="43"/>
      <c r="E47" s="43"/>
      <c r="F47" s="43"/>
      <c r="G47" s="43"/>
      <c r="H47" s="43"/>
      <c r="I47" s="43"/>
      <c r="J47" s="43"/>
      <c r="K47" s="43"/>
      <c r="L47" s="43"/>
      <c r="M47" s="43"/>
      <c r="N47" s="43"/>
      <c r="O47" s="43"/>
      <c r="P47" s="43"/>
      <c r="Q47" s="43"/>
      <c r="R47" s="43"/>
    </row>
    <row r="48" spans="1:18">
      <c r="C48" s="43"/>
      <c r="D48" s="43"/>
      <c r="E48" s="43"/>
      <c r="F48" s="43"/>
      <c r="G48" s="43"/>
      <c r="H48" s="43"/>
      <c r="I48" s="43"/>
      <c r="J48" s="43"/>
      <c r="K48" s="43"/>
      <c r="L48" s="43"/>
      <c r="M48" s="43"/>
      <c r="N48" s="43"/>
      <c r="O48" s="43"/>
      <c r="P48" s="43"/>
      <c r="Q48" s="43"/>
      <c r="R48" s="43"/>
    </row>
    <row r="49" spans="3:18">
      <c r="C49" s="43"/>
      <c r="D49" s="43"/>
      <c r="E49" s="43"/>
      <c r="F49" s="43"/>
      <c r="G49" s="43"/>
      <c r="H49" s="43"/>
      <c r="I49" s="43"/>
      <c r="J49" s="43"/>
      <c r="K49" s="43"/>
      <c r="L49" s="43"/>
      <c r="M49" s="43"/>
      <c r="N49" s="43"/>
      <c r="O49" s="43"/>
      <c r="P49" s="43"/>
      <c r="Q49" s="43"/>
      <c r="R49" s="43"/>
    </row>
  </sheetData>
  <mergeCells count="2">
    <mergeCell ref="C6:R6"/>
    <mergeCell ref="C26:R2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heetViews>
  <sheetFormatPr defaultColWidth="9.109375" defaultRowHeight="13.2"/>
  <cols>
    <col min="1" max="1" width="21.88671875" style="10" customWidth="1"/>
    <col min="2" max="13" width="13.109375" style="10" customWidth="1"/>
    <col min="14" max="16384" width="9.109375" style="10"/>
  </cols>
  <sheetData>
    <row r="1" spans="1:13">
      <c r="A1" s="11" t="s">
        <v>303</v>
      </c>
    </row>
    <row r="5" spans="1:13">
      <c r="A5" s="13" t="s">
        <v>277</v>
      </c>
      <c r="B5" s="55" t="s">
        <v>192</v>
      </c>
      <c r="C5" s="55" t="s">
        <v>193</v>
      </c>
      <c r="D5" s="55" t="s">
        <v>211</v>
      </c>
      <c r="E5" s="55" t="s">
        <v>212</v>
      </c>
      <c r="F5" s="55" t="s">
        <v>213</v>
      </c>
      <c r="G5" s="55" t="s">
        <v>214</v>
      </c>
      <c r="H5" s="55" t="s">
        <v>215</v>
      </c>
      <c r="I5" s="55" t="s">
        <v>216</v>
      </c>
      <c r="J5" s="55" t="s">
        <v>278</v>
      </c>
      <c r="K5" s="55" t="s">
        <v>217</v>
      </c>
      <c r="L5" s="55" t="s">
        <v>279</v>
      </c>
      <c r="M5" s="55" t="s">
        <v>280</v>
      </c>
    </row>
    <row r="6" spans="1:13" ht="26.4">
      <c r="A6" s="13" t="s">
        <v>281</v>
      </c>
      <c r="B6" s="49" t="s">
        <v>282</v>
      </c>
      <c r="C6" s="49" t="s">
        <v>283</v>
      </c>
      <c r="D6" s="49" t="s">
        <v>284</v>
      </c>
      <c r="E6" s="49" t="s">
        <v>285</v>
      </c>
      <c r="F6" s="49" t="s">
        <v>286</v>
      </c>
      <c r="G6" s="49" t="s">
        <v>287</v>
      </c>
      <c r="H6" s="49" t="s">
        <v>288</v>
      </c>
      <c r="I6" s="49" t="s">
        <v>289</v>
      </c>
      <c r="J6" s="49" t="s">
        <v>184</v>
      </c>
      <c r="K6" s="49" t="s">
        <v>264</v>
      </c>
      <c r="L6" s="49" t="s">
        <v>290</v>
      </c>
      <c r="M6" s="49" t="s">
        <v>291</v>
      </c>
    </row>
    <row r="7" spans="1:13">
      <c r="A7" s="10" t="s">
        <v>292</v>
      </c>
    </row>
    <row r="8" spans="1:13">
      <c r="A8" s="10" t="s">
        <v>293</v>
      </c>
      <c r="B8" s="43"/>
      <c r="C8" s="43"/>
      <c r="D8" s="43"/>
      <c r="E8" s="43"/>
      <c r="F8" s="59"/>
      <c r="G8" s="43"/>
      <c r="H8" s="58"/>
      <c r="I8" s="39"/>
      <c r="J8" s="43"/>
      <c r="K8" s="57"/>
      <c r="L8" s="43"/>
      <c r="M8" s="43"/>
    </row>
    <row r="9" spans="1:13">
      <c r="A9" s="10" t="s">
        <v>294</v>
      </c>
      <c r="B9" s="43"/>
      <c r="C9" s="43"/>
      <c r="D9" s="43"/>
      <c r="E9" s="43"/>
      <c r="F9" s="59"/>
      <c r="G9" s="43"/>
      <c r="H9" s="58"/>
      <c r="I9" s="39"/>
      <c r="J9" s="43"/>
      <c r="K9" s="57"/>
      <c r="L9" s="43"/>
      <c r="M9" s="43"/>
    </row>
    <row r="10" spans="1:13">
      <c r="A10" s="10" t="s">
        <v>295</v>
      </c>
      <c r="B10" s="43"/>
      <c r="C10" s="43"/>
      <c r="D10" s="43"/>
      <c r="E10" s="43"/>
      <c r="F10" s="59"/>
      <c r="G10" s="43"/>
      <c r="H10" s="58"/>
      <c r="I10" s="39"/>
      <c r="J10" s="43"/>
      <c r="K10" s="57"/>
      <c r="L10" s="43"/>
      <c r="M10" s="43"/>
    </row>
    <row r="11" spans="1:13">
      <c r="A11" s="10" t="s">
        <v>296</v>
      </c>
      <c r="B11" s="43"/>
      <c r="C11" s="43"/>
      <c r="D11" s="43"/>
      <c r="E11" s="43"/>
      <c r="F11" s="59"/>
      <c r="G11" s="43"/>
      <c r="H11" s="58"/>
      <c r="I11" s="39"/>
      <c r="J11" s="43"/>
      <c r="K11" s="57"/>
      <c r="L11" s="43"/>
      <c r="M11" s="43"/>
    </row>
    <row r="12" spans="1:13">
      <c r="A12" s="10" t="s">
        <v>297</v>
      </c>
      <c r="B12" s="43"/>
      <c r="C12" s="43"/>
      <c r="D12" s="43"/>
      <c r="E12" s="43"/>
      <c r="F12" s="59"/>
      <c r="G12" s="43"/>
      <c r="H12" s="58"/>
      <c r="I12" s="39"/>
      <c r="J12" s="43"/>
      <c r="K12" s="57"/>
      <c r="L12" s="43"/>
      <c r="M12" s="43"/>
    </row>
    <row r="13" spans="1:13">
      <c r="A13" s="10" t="s">
        <v>298</v>
      </c>
      <c r="B13" s="43"/>
      <c r="C13" s="43"/>
      <c r="D13" s="43"/>
      <c r="E13" s="43"/>
      <c r="F13" s="59"/>
      <c r="G13" s="43"/>
      <c r="H13" s="58"/>
      <c r="I13" s="39"/>
      <c r="J13" s="43"/>
      <c r="K13" s="57"/>
      <c r="L13" s="43"/>
      <c r="M13" s="43"/>
    </row>
    <row r="14" spans="1:13">
      <c r="A14" s="10" t="s">
        <v>299</v>
      </c>
      <c r="B14" s="43"/>
      <c r="C14" s="43"/>
      <c r="D14" s="43"/>
      <c r="E14" s="43"/>
      <c r="F14" s="59"/>
      <c r="G14" s="43"/>
      <c r="H14" s="58"/>
      <c r="I14" s="39"/>
      <c r="J14" s="43"/>
      <c r="K14" s="57"/>
      <c r="L14" s="43"/>
      <c r="M14" s="43"/>
    </row>
    <row r="15" spans="1:13">
      <c r="A15" s="10" t="s">
        <v>300</v>
      </c>
      <c r="B15" s="43"/>
      <c r="C15" s="43"/>
      <c r="D15" s="43"/>
      <c r="E15" s="43"/>
      <c r="F15" s="59"/>
      <c r="G15" s="43"/>
      <c r="H15" s="58"/>
      <c r="I15" s="39"/>
      <c r="J15" s="43"/>
      <c r="K15" s="57"/>
      <c r="L15" s="43"/>
      <c r="M15" s="43"/>
    </row>
    <row r="16" spans="1:13">
      <c r="A16" s="10" t="s">
        <v>301</v>
      </c>
      <c r="B16" s="43"/>
      <c r="C16" s="43"/>
      <c r="D16" s="43"/>
      <c r="E16" s="43"/>
      <c r="F16" s="59"/>
      <c r="G16" s="43"/>
      <c r="H16" s="58"/>
      <c r="I16" s="39"/>
      <c r="J16" s="43"/>
      <c r="K16" s="57"/>
      <c r="L16" s="43"/>
      <c r="M16" s="43"/>
    </row>
    <row r="18" spans="1:13">
      <c r="A18" s="12" t="s">
        <v>302</v>
      </c>
      <c r="B18" s="12"/>
      <c r="C18" s="12"/>
      <c r="D18" s="12"/>
      <c r="E18" s="12"/>
      <c r="F18" s="12"/>
      <c r="G18" s="12"/>
      <c r="H18" s="12"/>
      <c r="I18" s="12"/>
      <c r="J18" s="12"/>
      <c r="K18" s="12"/>
      <c r="L18" s="12"/>
      <c r="M18" s="12"/>
    </row>
    <row r="19" spans="1:13" ht="26.4">
      <c r="A19" s="13" t="s">
        <v>281</v>
      </c>
      <c r="B19" s="49" t="s">
        <v>282</v>
      </c>
      <c r="C19" s="49" t="s">
        <v>283</v>
      </c>
      <c r="D19" s="49" t="s">
        <v>284</v>
      </c>
      <c r="E19" s="49" t="s">
        <v>285</v>
      </c>
      <c r="F19" s="49" t="s">
        <v>286</v>
      </c>
      <c r="G19" s="49" t="s">
        <v>287</v>
      </c>
      <c r="H19" s="49" t="s">
        <v>288</v>
      </c>
      <c r="I19" s="49" t="s">
        <v>289</v>
      </c>
      <c r="J19" s="49" t="s">
        <v>184</v>
      </c>
      <c r="K19" s="49" t="s">
        <v>264</v>
      </c>
      <c r="L19" s="49" t="s">
        <v>290</v>
      </c>
      <c r="M19" s="49" t="s">
        <v>291</v>
      </c>
    </row>
    <row r="20" spans="1:13">
      <c r="A20" s="10" t="s">
        <v>292</v>
      </c>
    </row>
    <row r="21" spans="1:13">
      <c r="A21" s="10" t="s">
        <v>293</v>
      </c>
      <c r="B21" s="43"/>
      <c r="C21" s="43"/>
      <c r="D21" s="43"/>
      <c r="E21" s="43"/>
      <c r="F21" s="59"/>
      <c r="H21" s="58"/>
      <c r="I21" s="39"/>
      <c r="J21" s="43"/>
      <c r="K21" s="60"/>
      <c r="L21" s="43"/>
      <c r="M21" s="43"/>
    </row>
    <row r="22" spans="1:13">
      <c r="A22" s="10" t="s">
        <v>294</v>
      </c>
      <c r="B22" s="43"/>
      <c r="C22" s="43"/>
      <c r="D22" s="43"/>
      <c r="E22" s="43"/>
      <c r="F22" s="59"/>
      <c r="H22" s="58"/>
      <c r="I22" s="39"/>
      <c r="J22" s="43"/>
      <c r="K22" s="60"/>
      <c r="L22" s="43"/>
      <c r="M22" s="43"/>
    </row>
    <row r="23" spans="1:13">
      <c r="A23" s="10" t="s">
        <v>295</v>
      </c>
      <c r="B23" s="43"/>
      <c r="C23" s="43"/>
      <c r="D23" s="43"/>
      <c r="E23" s="43"/>
      <c r="F23" s="59"/>
      <c r="H23" s="58"/>
      <c r="I23" s="39"/>
      <c r="J23" s="43"/>
      <c r="K23" s="60"/>
      <c r="L23" s="43"/>
      <c r="M23" s="43"/>
    </row>
    <row r="24" spans="1:13">
      <c r="A24" s="10" t="s">
        <v>296</v>
      </c>
      <c r="B24" s="43"/>
      <c r="C24" s="43"/>
      <c r="D24" s="43"/>
      <c r="E24" s="43"/>
      <c r="F24" s="59"/>
      <c r="H24" s="58"/>
      <c r="I24" s="39"/>
      <c r="J24" s="43"/>
      <c r="K24" s="60"/>
      <c r="L24" s="43"/>
      <c r="M24" s="43"/>
    </row>
    <row r="25" spans="1:13">
      <c r="A25" s="10" t="s">
        <v>297</v>
      </c>
      <c r="B25" s="43"/>
      <c r="C25" s="43"/>
      <c r="D25" s="43"/>
      <c r="E25" s="43"/>
      <c r="F25" s="59"/>
      <c r="H25" s="58"/>
      <c r="I25" s="39"/>
      <c r="J25" s="43"/>
      <c r="K25" s="60"/>
      <c r="L25" s="43"/>
      <c r="M25" s="43"/>
    </row>
    <row r="26" spans="1:13">
      <c r="A26" s="10" t="s">
        <v>298</v>
      </c>
      <c r="B26" s="43"/>
      <c r="C26" s="43"/>
      <c r="D26" s="43"/>
      <c r="E26" s="43"/>
      <c r="F26" s="59"/>
      <c r="H26" s="58"/>
      <c r="I26" s="39"/>
      <c r="J26" s="43"/>
      <c r="K26" s="60"/>
      <c r="L26" s="43"/>
      <c r="M26" s="43"/>
    </row>
    <row r="27" spans="1:13">
      <c r="A27" s="10" t="s">
        <v>299</v>
      </c>
      <c r="B27" s="43"/>
      <c r="C27" s="43"/>
      <c r="D27" s="43"/>
      <c r="E27" s="43"/>
      <c r="F27" s="59"/>
      <c r="H27" s="58"/>
      <c r="I27" s="39"/>
      <c r="J27" s="43"/>
      <c r="K27" s="60"/>
      <c r="L27" s="43"/>
      <c r="M27" s="43"/>
    </row>
    <row r="28" spans="1:13">
      <c r="A28" s="10" t="s">
        <v>300</v>
      </c>
      <c r="B28" s="43"/>
      <c r="C28" s="43"/>
      <c r="D28" s="43"/>
      <c r="E28" s="43"/>
      <c r="F28" s="59"/>
      <c r="H28" s="58"/>
      <c r="I28" s="39"/>
      <c r="J28" s="43"/>
      <c r="K28" s="60"/>
      <c r="L28" s="43"/>
      <c r="M28" s="43"/>
    </row>
    <row r="29" spans="1:13">
      <c r="A29" s="10" t="s">
        <v>301</v>
      </c>
      <c r="B29" s="43"/>
      <c r="C29" s="43"/>
      <c r="D29" s="43"/>
      <c r="E29" s="43"/>
      <c r="F29" s="59"/>
      <c r="H29" s="58"/>
      <c r="I29" s="39"/>
      <c r="J29" s="43"/>
      <c r="K29" s="60"/>
      <c r="L29" s="43"/>
      <c r="M29" s="43"/>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workbookViewId="0"/>
  </sheetViews>
  <sheetFormatPr defaultColWidth="9.109375" defaultRowHeight="13.2"/>
  <cols>
    <col min="1" max="1" width="21.6640625" style="10" customWidth="1"/>
    <col min="2" max="13" width="13" style="10" customWidth="1"/>
    <col min="14" max="16384" width="9.109375" style="10"/>
  </cols>
  <sheetData>
    <row r="1" spans="1:13">
      <c r="A1" s="11" t="s">
        <v>306</v>
      </c>
    </row>
    <row r="5" spans="1:13">
      <c r="A5" s="13" t="s">
        <v>277</v>
      </c>
      <c r="B5" s="55" t="s">
        <v>192</v>
      </c>
      <c r="C5" s="55" t="s">
        <v>193</v>
      </c>
      <c r="D5" s="55" t="s">
        <v>211</v>
      </c>
      <c r="E5" s="55" t="s">
        <v>212</v>
      </c>
      <c r="F5" s="55" t="s">
        <v>213</v>
      </c>
      <c r="G5" s="55" t="s">
        <v>214</v>
      </c>
      <c r="H5" s="55" t="s">
        <v>215</v>
      </c>
      <c r="I5" s="55" t="s">
        <v>216</v>
      </c>
      <c r="J5" s="55" t="s">
        <v>278</v>
      </c>
      <c r="K5" s="55" t="s">
        <v>217</v>
      </c>
      <c r="L5" s="55" t="s">
        <v>279</v>
      </c>
      <c r="M5" s="55" t="s">
        <v>280</v>
      </c>
    </row>
    <row r="6" spans="1:13" ht="26.4">
      <c r="A6" s="13" t="s">
        <v>281</v>
      </c>
      <c r="B6" s="49" t="s">
        <v>282</v>
      </c>
      <c r="C6" s="49" t="s">
        <v>283</v>
      </c>
      <c r="D6" s="49" t="s">
        <v>284</v>
      </c>
      <c r="E6" s="49" t="s">
        <v>285</v>
      </c>
      <c r="F6" s="49" t="s">
        <v>286</v>
      </c>
      <c r="G6" s="49" t="s">
        <v>287</v>
      </c>
      <c r="H6" s="49" t="s">
        <v>288</v>
      </c>
      <c r="I6" s="49" t="s">
        <v>289</v>
      </c>
      <c r="J6" s="49" t="s">
        <v>184</v>
      </c>
      <c r="K6" s="49" t="s">
        <v>264</v>
      </c>
      <c r="L6" s="49" t="s">
        <v>290</v>
      </c>
      <c r="M6" s="49" t="s">
        <v>291</v>
      </c>
    </row>
    <row r="7" spans="1:13">
      <c r="A7" s="10" t="s">
        <v>304</v>
      </c>
    </row>
    <row r="8" spans="1:13">
      <c r="A8" s="10" t="s">
        <v>293</v>
      </c>
      <c r="B8" s="43"/>
      <c r="C8" s="43"/>
      <c r="D8" s="43"/>
      <c r="E8" s="43"/>
      <c r="F8" s="59"/>
      <c r="G8" s="43"/>
      <c r="H8" s="58"/>
      <c r="I8" s="39"/>
      <c r="J8" s="43"/>
      <c r="K8" s="57"/>
      <c r="L8" s="43"/>
      <c r="M8" s="43"/>
    </row>
    <row r="9" spans="1:13">
      <c r="A9" s="10" t="s">
        <v>294</v>
      </c>
      <c r="B9" s="43"/>
      <c r="C9" s="43"/>
      <c r="D9" s="43"/>
      <c r="E9" s="43"/>
      <c r="F9" s="59"/>
      <c r="G9" s="43"/>
      <c r="H9" s="58"/>
      <c r="I9" s="39"/>
      <c r="J9" s="43"/>
      <c r="K9" s="57"/>
      <c r="L9" s="43"/>
      <c r="M9" s="43"/>
    </row>
    <row r="10" spans="1:13">
      <c r="A10" s="10" t="s">
        <v>295</v>
      </c>
      <c r="B10" s="43"/>
      <c r="C10" s="43"/>
      <c r="D10" s="43"/>
      <c r="E10" s="43"/>
      <c r="F10" s="59"/>
      <c r="G10" s="43"/>
      <c r="H10" s="58"/>
      <c r="I10" s="39"/>
      <c r="J10" s="43"/>
      <c r="K10" s="57"/>
      <c r="L10" s="43"/>
      <c r="M10" s="43"/>
    </row>
    <row r="11" spans="1:13">
      <c r="A11" s="10" t="s">
        <v>296</v>
      </c>
      <c r="B11" s="43"/>
      <c r="C11" s="43"/>
      <c r="D11" s="43"/>
      <c r="E11" s="43"/>
      <c r="F11" s="59"/>
      <c r="G11" s="43"/>
      <c r="H11" s="58"/>
      <c r="I11" s="39"/>
      <c r="J11" s="43"/>
      <c r="K11" s="57"/>
      <c r="L11" s="43"/>
      <c r="M11" s="43"/>
    </row>
    <row r="12" spans="1:13">
      <c r="A12" s="10" t="s">
        <v>297</v>
      </c>
      <c r="B12" s="43"/>
      <c r="C12" s="43"/>
      <c r="D12" s="43"/>
      <c r="E12" s="43"/>
      <c r="F12" s="59"/>
      <c r="G12" s="43"/>
      <c r="H12" s="58"/>
      <c r="I12" s="39"/>
      <c r="J12" s="43"/>
      <c r="K12" s="57"/>
      <c r="L12" s="43"/>
      <c r="M12" s="43"/>
    </row>
    <row r="13" spans="1:13">
      <c r="A13" s="10" t="s">
        <v>298</v>
      </c>
      <c r="B13" s="43"/>
      <c r="C13" s="43"/>
      <c r="D13" s="43"/>
      <c r="E13" s="43"/>
      <c r="F13" s="59"/>
      <c r="G13" s="43"/>
      <c r="H13" s="58"/>
      <c r="I13" s="39"/>
      <c r="J13" s="43"/>
      <c r="K13" s="57"/>
      <c r="L13" s="43"/>
      <c r="M13" s="43"/>
    </row>
    <row r="14" spans="1:13">
      <c r="A14" s="10" t="s">
        <v>299</v>
      </c>
      <c r="B14" s="43"/>
      <c r="C14" s="43"/>
      <c r="D14" s="43"/>
      <c r="E14" s="43"/>
      <c r="F14" s="59"/>
      <c r="G14" s="43"/>
      <c r="H14" s="58"/>
      <c r="I14" s="39"/>
      <c r="J14" s="43"/>
      <c r="K14" s="57"/>
      <c r="L14" s="43"/>
      <c r="M14" s="43"/>
    </row>
    <row r="15" spans="1:13">
      <c r="A15" s="10" t="s">
        <v>300</v>
      </c>
      <c r="B15" s="43"/>
      <c r="C15" s="43"/>
      <c r="D15" s="43"/>
      <c r="E15" s="43"/>
      <c r="F15" s="59"/>
      <c r="G15" s="43"/>
      <c r="H15" s="58"/>
      <c r="I15" s="39"/>
      <c r="J15" s="43"/>
      <c r="K15" s="57"/>
      <c r="L15" s="43"/>
      <c r="M15" s="43"/>
    </row>
    <row r="16" spans="1:13">
      <c r="A16" s="10" t="s">
        <v>209</v>
      </c>
      <c r="B16" s="43"/>
      <c r="C16" s="43"/>
      <c r="D16" s="43"/>
      <c r="E16" s="43"/>
      <c r="F16" s="59"/>
      <c r="G16" s="43"/>
      <c r="H16" s="58"/>
      <c r="I16" s="39"/>
      <c r="J16" s="43"/>
      <c r="K16" s="57"/>
      <c r="L16" s="43"/>
      <c r="M16" s="43"/>
    </row>
    <row r="18" spans="1:13">
      <c r="A18" s="12"/>
      <c r="B18" s="12"/>
      <c r="C18" s="12"/>
      <c r="D18" s="12"/>
      <c r="E18" s="12"/>
      <c r="F18" s="12"/>
      <c r="G18" s="12"/>
      <c r="H18" s="12"/>
      <c r="I18" s="12"/>
      <c r="J18" s="12"/>
      <c r="K18" s="12"/>
      <c r="L18" s="12"/>
      <c r="M18" s="12"/>
    </row>
    <row r="19" spans="1:13">
      <c r="A19" s="13" t="s">
        <v>305</v>
      </c>
      <c r="B19" s="49"/>
      <c r="C19" s="49"/>
      <c r="D19" s="49"/>
      <c r="E19" s="49"/>
      <c r="F19" s="49"/>
      <c r="G19" s="49"/>
      <c r="H19" s="49"/>
      <c r="I19" s="49"/>
      <c r="J19" s="49"/>
      <c r="K19" s="49"/>
      <c r="L19" s="49"/>
      <c r="M19" s="49"/>
    </row>
    <row r="20" spans="1:13" ht="26.4">
      <c r="A20" s="13" t="s">
        <v>281</v>
      </c>
      <c r="B20" s="49" t="s">
        <v>282</v>
      </c>
      <c r="C20" s="49" t="s">
        <v>283</v>
      </c>
      <c r="D20" s="49" t="s">
        <v>284</v>
      </c>
      <c r="E20" s="49" t="s">
        <v>285</v>
      </c>
      <c r="F20" s="49" t="s">
        <v>286</v>
      </c>
      <c r="G20" s="49" t="s">
        <v>287</v>
      </c>
      <c r="H20" s="49" t="s">
        <v>288</v>
      </c>
      <c r="I20" s="49" t="s">
        <v>289</v>
      </c>
      <c r="J20" s="49" t="s">
        <v>184</v>
      </c>
      <c r="K20" s="49" t="s">
        <v>264</v>
      </c>
      <c r="L20" s="49" t="s">
        <v>290</v>
      </c>
      <c r="M20" s="49" t="s">
        <v>291</v>
      </c>
    </row>
    <row r="21" spans="1:13">
      <c r="A21" s="10" t="s">
        <v>304</v>
      </c>
      <c r="B21" s="43"/>
      <c r="C21" s="43"/>
      <c r="D21" s="43"/>
      <c r="E21" s="43"/>
      <c r="F21" s="59"/>
      <c r="H21" s="58"/>
      <c r="I21" s="39"/>
      <c r="J21" s="43"/>
      <c r="K21" s="60"/>
      <c r="L21" s="43"/>
      <c r="M21" s="43"/>
    </row>
    <row r="22" spans="1:13">
      <c r="A22" s="10" t="s">
        <v>293</v>
      </c>
      <c r="B22" s="43"/>
      <c r="C22" s="43"/>
      <c r="D22" s="43"/>
      <c r="E22" s="43"/>
      <c r="F22" s="59"/>
      <c r="H22" s="58"/>
      <c r="I22" s="39"/>
      <c r="J22" s="43"/>
      <c r="K22" s="60"/>
      <c r="L22" s="43"/>
      <c r="M22" s="43"/>
    </row>
    <row r="23" spans="1:13">
      <c r="A23" s="10" t="s">
        <v>294</v>
      </c>
      <c r="B23" s="43"/>
      <c r="C23" s="43"/>
      <c r="D23" s="43"/>
      <c r="E23" s="43"/>
      <c r="F23" s="59"/>
      <c r="H23" s="58"/>
      <c r="I23" s="39"/>
      <c r="J23" s="43"/>
      <c r="K23" s="60"/>
      <c r="L23" s="43"/>
      <c r="M23" s="43"/>
    </row>
    <row r="24" spans="1:13">
      <c r="A24" s="10" t="s">
        <v>295</v>
      </c>
      <c r="B24" s="43"/>
      <c r="C24" s="43"/>
      <c r="D24" s="43"/>
      <c r="E24" s="43"/>
      <c r="F24" s="59"/>
      <c r="H24" s="58"/>
      <c r="I24" s="39"/>
      <c r="J24" s="43"/>
      <c r="K24" s="60"/>
      <c r="L24" s="43"/>
      <c r="M24" s="43"/>
    </row>
    <row r="25" spans="1:13">
      <c r="A25" s="10" t="s">
        <v>296</v>
      </c>
      <c r="B25" s="43"/>
      <c r="C25" s="43"/>
      <c r="D25" s="43"/>
      <c r="E25" s="43"/>
      <c r="F25" s="59"/>
      <c r="H25" s="58"/>
      <c r="I25" s="39"/>
      <c r="J25" s="43"/>
      <c r="K25" s="60"/>
      <c r="L25" s="43"/>
      <c r="M25" s="43"/>
    </row>
    <row r="26" spans="1:13">
      <c r="A26" s="10" t="s">
        <v>297</v>
      </c>
      <c r="B26" s="43"/>
      <c r="C26" s="43"/>
      <c r="D26" s="43"/>
      <c r="E26" s="43"/>
      <c r="F26" s="59"/>
      <c r="H26" s="58"/>
      <c r="I26" s="39"/>
      <c r="J26" s="43"/>
      <c r="K26" s="60"/>
      <c r="L26" s="43"/>
      <c r="M26" s="43"/>
    </row>
    <row r="27" spans="1:13">
      <c r="A27" s="10" t="s">
        <v>298</v>
      </c>
      <c r="B27" s="43"/>
      <c r="C27" s="43"/>
      <c r="D27" s="43"/>
      <c r="E27" s="43"/>
      <c r="F27" s="59"/>
      <c r="H27" s="58"/>
      <c r="I27" s="39"/>
      <c r="J27" s="43"/>
      <c r="K27" s="60"/>
      <c r="L27" s="43"/>
      <c r="M27" s="43"/>
    </row>
    <row r="28" spans="1:13">
      <c r="A28" s="10" t="s">
        <v>299</v>
      </c>
      <c r="B28" s="43"/>
      <c r="C28" s="43"/>
      <c r="D28" s="43"/>
      <c r="E28" s="43"/>
      <c r="F28" s="59"/>
      <c r="H28" s="58"/>
      <c r="I28" s="39"/>
      <c r="J28" s="43"/>
      <c r="K28" s="60"/>
      <c r="L28" s="43"/>
      <c r="M28" s="43"/>
    </row>
    <row r="29" spans="1:13">
      <c r="A29" s="10" t="s">
        <v>300</v>
      </c>
      <c r="B29" s="43"/>
      <c r="C29" s="43"/>
      <c r="D29" s="43"/>
      <c r="E29" s="43"/>
      <c r="F29" s="59"/>
      <c r="H29" s="58"/>
      <c r="I29" s="39"/>
      <c r="J29" s="43"/>
      <c r="K29" s="60"/>
      <c r="L29" s="43"/>
      <c r="M29" s="43"/>
    </row>
    <row r="30" spans="1:13">
      <c r="A30" s="10" t="s">
        <v>301</v>
      </c>
      <c r="B30" s="43"/>
      <c r="C30" s="43"/>
      <c r="D30" s="43"/>
      <c r="E30" s="43"/>
      <c r="F30" s="59"/>
      <c r="H30" s="58"/>
      <c r="I30" s="39"/>
      <c r="J30" s="43"/>
      <c r="K30" s="60"/>
      <c r="L30" s="43"/>
      <c r="M30" s="43"/>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8"/>
  <sheetViews>
    <sheetView workbookViewId="0"/>
  </sheetViews>
  <sheetFormatPr defaultColWidth="9.109375" defaultRowHeight="13.2"/>
  <cols>
    <col min="1" max="1" width="20.5546875" style="10" customWidth="1"/>
    <col min="2" max="13" width="14.33203125" style="10" customWidth="1"/>
    <col min="14" max="16384" width="9.109375" style="10"/>
  </cols>
  <sheetData>
    <row r="1" spans="1:13">
      <c r="A1" s="11" t="s">
        <v>307</v>
      </c>
    </row>
    <row r="5" spans="1:13">
      <c r="A5" s="12" t="s">
        <v>277</v>
      </c>
      <c r="B5" s="52" t="s">
        <v>192</v>
      </c>
      <c r="C5" s="52" t="s">
        <v>193</v>
      </c>
      <c r="D5" s="52" t="s">
        <v>211</v>
      </c>
      <c r="E5" s="52" t="s">
        <v>212</v>
      </c>
      <c r="F5" s="52" t="s">
        <v>213</v>
      </c>
      <c r="G5" s="52" t="s">
        <v>214</v>
      </c>
      <c r="H5" s="52" t="s">
        <v>215</v>
      </c>
      <c r="I5" s="52" t="s">
        <v>216</v>
      </c>
      <c r="J5" s="52" t="s">
        <v>278</v>
      </c>
      <c r="K5" s="52" t="s">
        <v>217</v>
      </c>
      <c r="L5" s="52" t="s">
        <v>279</v>
      </c>
      <c r="M5" s="52" t="s">
        <v>280</v>
      </c>
    </row>
    <row r="6" spans="1:13" ht="26.4">
      <c r="A6" s="13" t="s">
        <v>281</v>
      </c>
      <c r="B6" s="49" t="s">
        <v>282</v>
      </c>
      <c r="C6" s="49" t="s">
        <v>283</v>
      </c>
      <c r="D6" s="49" t="s">
        <v>284</v>
      </c>
      <c r="E6" s="49" t="s">
        <v>285</v>
      </c>
      <c r="F6" s="49" t="s">
        <v>286</v>
      </c>
      <c r="G6" s="49" t="s">
        <v>287</v>
      </c>
      <c r="H6" s="49" t="s">
        <v>288</v>
      </c>
      <c r="I6" s="49" t="s">
        <v>289</v>
      </c>
      <c r="J6" s="49" t="s">
        <v>184</v>
      </c>
      <c r="K6" s="49" t="s">
        <v>264</v>
      </c>
      <c r="L6" s="49" t="s">
        <v>290</v>
      </c>
      <c r="M6" s="49" t="s">
        <v>291</v>
      </c>
    </row>
    <row r="7" spans="1:13">
      <c r="A7" s="10" t="s">
        <v>308</v>
      </c>
    </row>
    <row r="8" spans="1:13">
      <c r="A8" s="10" t="s">
        <v>293</v>
      </c>
      <c r="B8" s="43"/>
      <c r="C8" s="43"/>
      <c r="D8" s="57"/>
      <c r="E8" s="43"/>
      <c r="F8" s="59"/>
      <c r="H8" s="58"/>
      <c r="I8" s="39"/>
      <c r="J8" s="43"/>
      <c r="K8" s="57"/>
      <c r="L8" s="43"/>
      <c r="M8" s="43"/>
    </row>
    <row r="9" spans="1:13">
      <c r="A9" s="10" t="s">
        <v>294</v>
      </c>
      <c r="B9" s="43"/>
      <c r="C9" s="43"/>
      <c r="D9" s="57"/>
      <c r="E9" s="43"/>
      <c r="F9" s="59"/>
      <c r="H9" s="58"/>
      <c r="I9" s="39"/>
      <c r="J9" s="43"/>
      <c r="K9" s="57"/>
      <c r="L9" s="43"/>
      <c r="M9" s="43"/>
    </row>
    <row r="10" spans="1:13">
      <c r="A10" s="10" t="s">
        <v>295</v>
      </c>
      <c r="B10" s="43"/>
      <c r="C10" s="43"/>
      <c r="D10" s="57"/>
      <c r="E10" s="43"/>
      <c r="F10" s="59"/>
      <c r="H10" s="58"/>
      <c r="I10" s="39"/>
      <c r="J10" s="43"/>
      <c r="K10" s="57"/>
      <c r="L10" s="43"/>
      <c r="M10" s="43"/>
    </row>
    <row r="11" spans="1:13">
      <c r="A11" s="10" t="s">
        <v>309</v>
      </c>
      <c r="B11" s="43"/>
      <c r="C11" s="43"/>
      <c r="D11" s="57"/>
      <c r="E11" s="43"/>
      <c r="F11" s="59"/>
      <c r="H11" s="58"/>
      <c r="I11" s="39"/>
      <c r="J11" s="43"/>
      <c r="K11" s="57"/>
      <c r="L11" s="43"/>
      <c r="M11" s="43"/>
    </row>
    <row r="12" spans="1:13">
      <c r="A12" s="10" t="s">
        <v>297</v>
      </c>
      <c r="B12" s="43"/>
      <c r="C12" s="43"/>
      <c r="D12" s="57"/>
      <c r="E12" s="43"/>
      <c r="F12" s="59"/>
      <c r="H12" s="58"/>
      <c r="I12" s="39"/>
      <c r="J12" s="43"/>
      <c r="K12" s="57"/>
      <c r="L12" s="43"/>
      <c r="M12" s="43"/>
    </row>
    <row r="13" spans="1:13">
      <c r="A13" s="10" t="s">
        <v>298</v>
      </c>
      <c r="B13" s="43"/>
      <c r="C13" s="43"/>
      <c r="D13" s="57"/>
      <c r="E13" s="43"/>
      <c r="F13" s="59"/>
      <c r="H13" s="58"/>
      <c r="I13" s="39"/>
      <c r="J13" s="43"/>
      <c r="K13" s="57"/>
      <c r="L13" s="43"/>
      <c r="M13" s="43"/>
    </row>
    <row r="14" spans="1:13">
      <c r="A14" s="10" t="s">
        <v>299</v>
      </c>
      <c r="B14" s="43"/>
      <c r="C14" s="43"/>
      <c r="D14" s="57"/>
      <c r="E14" s="43"/>
      <c r="F14" s="59"/>
      <c r="H14" s="58"/>
      <c r="I14" s="39"/>
      <c r="J14" s="43"/>
      <c r="K14" s="57"/>
      <c r="L14" s="43"/>
      <c r="M14" s="43"/>
    </row>
    <row r="15" spans="1:13">
      <c r="A15" s="10" t="s">
        <v>300</v>
      </c>
      <c r="B15" s="43"/>
      <c r="C15" s="43"/>
      <c r="D15" s="57"/>
      <c r="E15" s="43"/>
      <c r="F15" s="59"/>
      <c r="H15" s="58"/>
      <c r="I15" s="39"/>
      <c r="J15" s="43"/>
      <c r="K15" s="57"/>
      <c r="L15" s="43"/>
      <c r="M15" s="43"/>
    </row>
    <row r="16" spans="1:13">
      <c r="A16" s="13" t="s">
        <v>209</v>
      </c>
      <c r="B16" s="45"/>
      <c r="C16" s="45"/>
      <c r="D16" s="56"/>
      <c r="E16" s="45"/>
      <c r="F16" s="64"/>
      <c r="G16" s="13"/>
      <c r="H16" s="65"/>
      <c r="I16" s="41"/>
      <c r="J16" s="45"/>
      <c r="K16" s="56"/>
      <c r="L16" s="45"/>
      <c r="M16" s="45"/>
    </row>
    <row r="17" spans="1:13">
      <c r="B17" s="43"/>
      <c r="C17" s="43"/>
      <c r="D17" s="57"/>
      <c r="E17" s="43"/>
      <c r="F17" s="59"/>
      <c r="H17" s="58"/>
      <c r="I17" s="39"/>
      <c r="J17" s="43"/>
      <c r="K17" s="57"/>
      <c r="L17" s="43"/>
      <c r="M17" s="43"/>
    </row>
    <row r="18" spans="1:13">
      <c r="A18" s="10" t="s">
        <v>310</v>
      </c>
      <c r="B18" s="43"/>
      <c r="C18" s="43"/>
      <c r="D18" s="57"/>
      <c r="E18" s="43"/>
      <c r="F18" s="59"/>
      <c r="H18" s="58"/>
      <c r="I18" s="39"/>
      <c r="J18" s="43"/>
      <c r="K18" s="57"/>
      <c r="L18" s="43"/>
      <c r="M18" s="43"/>
    </row>
    <row r="19" spans="1:13">
      <c r="A19" s="10" t="s">
        <v>293</v>
      </c>
      <c r="B19" s="43"/>
      <c r="C19" s="43"/>
      <c r="D19" s="57"/>
      <c r="E19" s="43"/>
      <c r="F19" s="59"/>
      <c r="H19" s="58"/>
      <c r="I19" s="39"/>
      <c r="J19" s="43"/>
      <c r="K19" s="57"/>
      <c r="L19" s="43"/>
      <c r="M19" s="43"/>
    </row>
    <row r="20" spans="1:13">
      <c r="A20" s="10" t="s">
        <v>294</v>
      </c>
      <c r="B20" s="43"/>
      <c r="C20" s="43"/>
      <c r="D20" s="57"/>
      <c r="E20" s="43"/>
      <c r="F20" s="59"/>
      <c r="H20" s="58"/>
      <c r="I20" s="39"/>
      <c r="J20" s="43"/>
      <c r="K20" s="57"/>
      <c r="L20" s="43"/>
      <c r="M20" s="43"/>
    </row>
    <row r="21" spans="1:13">
      <c r="A21" s="10" t="s">
        <v>295</v>
      </c>
      <c r="B21" s="43"/>
      <c r="C21" s="43"/>
      <c r="D21" s="57"/>
      <c r="E21" s="43"/>
      <c r="F21" s="59"/>
      <c r="H21" s="58"/>
      <c r="I21" s="39"/>
      <c r="J21" s="43"/>
      <c r="K21" s="57"/>
      <c r="L21" s="43"/>
      <c r="M21" s="43"/>
    </row>
    <row r="22" spans="1:13">
      <c r="A22" s="10" t="s">
        <v>309</v>
      </c>
      <c r="B22" s="43"/>
      <c r="C22" s="43"/>
      <c r="D22" s="57"/>
      <c r="E22" s="43"/>
      <c r="F22" s="59"/>
      <c r="H22" s="58"/>
      <c r="I22" s="39"/>
      <c r="J22" s="43"/>
      <c r="K22" s="57"/>
      <c r="L22" s="43"/>
      <c r="M22" s="43"/>
    </row>
    <row r="23" spans="1:13">
      <c r="A23" s="10" t="s">
        <v>297</v>
      </c>
      <c r="B23" s="43"/>
      <c r="C23" s="43"/>
      <c r="D23" s="57"/>
      <c r="E23" s="43"/>
      <c r="F23" s="59"/>
      <c r="H23" s="58"/>
      <c r="I23" s="39"/>
      <c r="J23" s="43"/>
      <c r="K23" s="57"/>
      <c r="L23" s="43"/>
      <c r="M23" s="43"/>
    </row>
    <row r="24" spans="1:13">
      <c r="A24" s="10" t="s">
        <v>298</v>
      </c>
      <c r="B24" s="43"/>
      <c r="C24" s="43"/>
      <c r="D24" s="57"/>
      <c r="E24" s="43"/>
      <c r="F24" s="59"/>
      <c r="H24" s="58"/>
      <c r="I24" s="39"/>
      <c r="J24" s="43"/>
      <c r="K24" s="57"/>
      <c r="L24" s="43"/>
      <c r="M24" s="43"/>
    </row>
    <row r="25" spans="1:13">
      <c r="A25" s="10" t="s">
        <v>299</v>
      </c>
      <c r="B25" s="43"/>
      <c r="C25" s="43"/>
      <c r="D25" s="57"/>
      <c r="E25" s="43"/>
      <c r="F25" s="59"/>
      <c r="H25" s="58"/>
      <c r="I25" s="39"/>
      <c r="J25" s="43"/>
      <c r="K25" s="57"/>
      <c r="L25" s="43"/>
      <c r="M25" s="43"/>
    </row>
    <row r="26" spans="1:13">
      <c r="A26" s="10" t="s">
        <v>300</v>
      </c>
      <c r="B26" s="43"/>
      <c r="C26" s="43"/>
      <c r="D26" s="57"/>
      <c r="E26" s="43"/>
      <c r="F26" s="59"/>
      <c r="H26" s="58"/>
      <c r="I26" s="39"/>
      <c r="J26" s="43"/>
      <c r="K26" s="57"/>
      <c r="L26" s="43"/>
      <c r="M26" s="43"/>
    </row>
    <row r="27" spans="1:13">
      <c r="A27" s="13" t="s">
        <v>209</v>
      </c>
      <c r="B27" s="45"/>
      <c r="C27" s="45"/>
      <c r="D27" s="56"/>
      <c r="E27" s="45"/>
      <c r="F27" s="64"/>
      <c r="G27" s="13"/>
      <c r="H27" s="65"/>
      <c r="I27" s="41"/>
      <c r="J27" s="45"/>
      <c r="K27" s="56"/>
      <c r="L27" s="45"/>
      <c r="M27" s="45"/>
    </row>
    <row r="28" spans="1:13">
      <c r="B28" s="43"/>
      <c r="C28" s="43"/>
      <c r="D28" s="57"/>
      <c r="E28" s="43"/>
      <c r="F28" s="59"/>
      <c r="H28" s="58"/>
      <c r="I28" s="39"/>
      <c r="J28" s="43"/>
      <c r="K28" s="57"/>
      <c r="L28" s="43"/>
      <c r="M28" s="43"/>
    </row>
    <row r="29" spans="1:13">
      <c r="A29" s="10" t="s">
        <v>311</v>
      </c>
      <c r="B29" s="43"/>
      <c r="C29" s="43"/>
      <c r="D29" s="57"/>
      <c r="E29" s="43"/>
      <c r="F29" s="59"/>
      <c r="H29" s="58"/>
      <c r="I29" s="39"/>
      <c r="J29" s="43"/>
      <c r="K29" s="57"/>
      <c r="L29" s="43"/>
      <c r="M29" s="43"/>
    </row>
    <row r="30" spans="1:13">
      <c r="A30" s="10" t="s">
        <v>293</v>
      </c>
      <c r="B30" s="43"/>
      <c r="C30" s="43"/>
      <c r="D30" s="57"/>
      <c r="E30" s="43"/>
      <c r="F30" s="59"/>
      <c r="H30" s="58"/>
      <c r="I30" s="39"/>
      <c r="J30" s="43"/>
      <c r="K30" s="57"/>
      <c r="L30" s="43"/>
      <c r="M30" s="43"/>
    </row>
    <row r="31" spans="1:13">
      <c r="A31" s="10" t="s">
        <v>294</v>
      </c>
      <c r="B31" s="43"/>
      <c r="C31" s="43"/>
      <c r="D31" s="57"/>
      <c r="E31" s="43"/>
      <c r="F31" s="59"/>
      <c r="H31" s="58"/>
      <c r="I31" s="39"/>
      <c r="J31" s="43"/>
      <c r="K31" s="57"/>
      <c r="L31" s="43"/>
      <c r="M31" s="43"/>
    </row>
    <row r="32" spans="1:13">
      <c r="A32" s="10" t="s">
        <v>295</v>
      </c>
      <c r="B32" s="43"/>
      <c r="C32" s="43"/>
      <c r="D32" s="57"/>
      <c r="E32" s="43"/>
      <c r="F32" s="59"/>
      <c r="H32" s="58"/>
      <c r="I32" s="39"/>
      <c r="J32" s="43"/>
      <c r="K32" s="57"/>
      <c r="L32" s="43"/>
      <c r="M32" s="43"/>
    </row>
    <row r="33" spans="1:13">
      <c r="A33" s="10" t="s">
        <v>309</v>
      </c>
      <c r="B33" s="43"/>
      <c r="C33" s="43"/>
      <c r="D33" s="57"/>
      <c r="E33" s="43"/>
      <c r="F33" s="59"/>
      <c r="H33" s="58"/>
      <c r="I33" s="39"/>
      <c r="J33" s="43"/>
      <c r="K33" s="57"/>
      <c r="L33" s="43"/>
      <c r="M33" s="43"/>
    </row>
    <row r="34" spans="1:13">
      <c r="A34" s="10" t="s">
        <v>297</v>
      </c>
      <c r="B34" s="43"/>
      <c r="C34" s="43"/>
      <c r="D34" s="57"/>
      <c r="E34" s="43"/>
      <c r="F34" s="59"/>
      <c r="H34" s="58"/>
      <c r="I34" s="39"/>
      <c r="J34" s="43"/>
      <c r="K34" s="57"/>
      <c r="L34" s="43"/>
      <c r="M34" s="43"/>
    </row>
    <row r="35" spans="1:13">
      <c r="A35" s="10" t="s">
        <v>298</v>
      </c>
      <c r="B35" s="43"/>
      <c r="C35" s="43"/>
      <c r="D35" s="57"/>
      <c r="E35" s="43"/>
      <c r="F35" s="59"/>
      <c r="H35" s="58"/>
      <c r="I35" s="39"/>
      <c r="J35" s="43"/>
      <c r="K35" s="57"/>
      <c r="L35" s="43"/>
      <c r="M35" s="43"/>
    </row>
    <row r="36" spans="1:13">
      <c r="A36" s="10" t="s">
        <v>299</v>
      </c>
      <c r="B36" s="43"/>
      <c r="C36" s="43"/>
      <c r="D36" s="57"/>
      <c r="E36" s="43"/>
      <c r="F36" s="59"/>
      <c r="H36" s="58"/>
      <c r="I36" s="39"/>
      <c r="J36" s="43"/>
      <c r="K36" s="57"/>
      <c r="L36" s="43"/>
      <c r="M36" s="43"/>
    </row>
    <row r="37" spans="1:13">
      <c r="A37" s="10" t="s">
        <v>300</v>
      </c>
      <c r="B37" s="43"/>
      <c r="C37" s="43"/>
      <c r="D37" s="57"/>
      <c r="E37" s="43"/>
      <c r="F37" s="59"/>
      <c r="H37" s="58"/>
      <c r="I37" s="39"/>
      <c r="J37" s="43"/>
      <c r="K37" s="57"/>
      <c r="L37" s="43"/>
      <c r="M37" s="43"/>
    </row>
    <row r="38" spans="1:13">
      <c r="A38" s="13" t="s">
        <v>312</v>
      </c>
      <c r="B38" s="45"/>
      <c r="C38" s="45"/>
      <c r="D38" s="56"/>
      <c r="E38" s="45"/>
      <c r="F38" s="64"/>
      <c r="G38" s="13"/>
      <c r="H38" s="65"/>
      <c r="I38" s="41"/>
      <c r="J38" s="45"/>
      <c r="K38" s="56"/>
      <c r="L38" s="45"/>
      <c r="M38" s="45"/>
    </row>
    <row r="39" spans="1:13">
      <c r="B39" s="43"/>
      <c r="C39" s="43"/>
      <c r="D39" s="57"/>
      <c r="E39" s="43"/>
      <c r="F39" s="59"/>
      <c r="H39" s="58"/>
      <c r="I39" s="39"/>
      <c r="J39" s="43"/>
      <c r="K39" s="57"/>
      <c r="L39" s="43"/>
      <c r="M39" s="43"/>
    </row>
    <row r="40" spans="1:13">
      <c r="A40" s="10" t="s">
        <v>313</v>
      </c>
      <c r="B40" s="43"/>
      <c r="C40" s="43"/>
      <c r="D40" s="57"/>
      <c r="E40" s="43"/>
      <c r="F40" s="59"/>
      <c r="H40" s="58"/>
      <c r="I40" s="39"/>
      <c r="J40" s="43"/>
      <c r="K40" s="57"/>
      <c r="L40" s="43"/>
      <c r="M40" s="43"/>
    </row>
    <row r="41" spans="1:13">
      <c r="A41" s="10" t="s">
        <v>293</v>
      </c>
      <c r="B41" s="43"/>
      <c r="C41" s="43"/>
      <c r="D41" s="57"/>
      <c r="E41" s="43"/>
      <c r="F41" s="59"/>
      <c r="H41" s="58"/>
      <c r="I41" s="39"/>
      <c r="J41" s="43"/>
      <c r="K41" s="57"/>
      <c r="L41" s="43"/>
      <c r="M41" s="43"/>
    </row>
    <row r="42" spans="1:13">
      <c r="A42" s="10" t="s">
        <v>294</v>
      </c>
      <c r="B42" s="43"/>
      <c r="C42" s="43"/>
      <c r="D42" s="57"/>
      <c r="E42" s="43"/>
      <c r="F42" s="59"/>
      <c r="H42" s="58"/>
      <c r="I42" s="39"/>
      <c r="J42" s="43"/>
      <c r="K42" s="57"/>
      <c r="L42" s="43"/>
      <c r="M42" s="43"/>
    </row>
    <row r="43" spans="1:13">
      <c r="A43" s="10" t="s">
        <v>295</v>
      </c>
      <c r="B43" s="43"/>
      <c r="C43" s="43"/>
      <c r="D43" s="57"/>
      <c r="E43" s="43"/>
      <c r="F43" s="59"/>
      <c r="H43" s="58"/>
      <c r="I43" s="39"/>
      <c r="J43" s="43"/>
      <c r="K43" s="57"/>
      <c r="L43" s="43"/>
      <c r="M43" s="43"/>
    </row>
    <row r="44" spans="1:13">
      <c r="A44" s="10" t="s">
        <v>309</v>
      </c>
      <c r="B44" s="43"/>
      <c r="C44" s="43"/>
      <c r="D44" s="57"/>
      <c r="E44" s="43"/>
      <c r="F44" s="59"/>
      <c r="H44" s="58"/>
      <c r="I44" s="39"/>
      <c r="J44" s="43"/>
      <c r="K44" s="57"/>
      <c r="L44" s="43"/>
      <c r="M44" s="43"/>
    </row>
    <row r="45" spans="1:13">
      <c r="A45" s="10" t="s">
        <v>297</v>
      </c>
      <c r="B45" s="43"/>
      <c r="C45" s="43"/>
      <c r="D45" s="57"/>
      <c r="E45" s="43"/>
      <c r="F45" s="59"/>
      <c r="H45" s="58"/>
      <c r="I45" s="39"/>
      <c r="J45" s="43"/>
      <c r="K45" s="57"/>
      <c r="L45" s="43"/>
      <c r="M45" s="43"/>
    </row>
    <row r="46" spans="1:13">
      <c r="A46" s="10" t="s">
        <v>298</v>
      </c>
      <c r="B46" s="43"/>
      <c r="C46" s="43"/>
      <c r="D46" s="57"/>
      <c r="E46" s="43"/>
      <c r="F46" s="59"/>
      <c r="H46" s="58"/>
      <c r="I46" s="39"/>
      <c r="J46" s="43"/>
      <c r="K46" s="57"/>
      <c r="L46" s="43"/>
      <c r="M46" s="43"/>
    </row>
    <row r="47" spans="1:13">
      <c r="A47" s="10" t="s">
        <v>299</v>
      </c>
      <c r="B47" s="43"/>
      <c r="C47" s="43"/>
      <c r="D47" s="57"/>
      <c r="E47" s="43"/>
      <c r="F47" s="59"/>
      <c r="H47" s="58"/>
      <c r="I47" s="39"/>
      <c r="J47" s="43"/>
      <c r="K47" s="57"/>
      <c r="L47" s="43"/>
      <c r="M47" s="43"/>
    </row>
    <row r="48" spans="1:13">
      <c r="A48" s="10" t="s">
        <v>300</v>
      </c>
      <c r="B48" s="43"/>
      <c r="C48" s="43"/>
      <c r="D48" s="57"/>
      <c r="E48" s="43"/>
      <c r="F48" s="59"/>
      <c r="H48" s="58"/>
      <c r="I48" s="39"/>
      <c r="J48" s="43"/>
      <c r="K48" s="57"/>
      <c r="L48" s="43"/>
      <c r="M48" s="43"/>
    </row>
    <row r="49" spans="1:13">
      <c r="A49" s="13" t="s">
        <v>312</v>
      </c>
      <c r="B49" s="45"/>
      <c r="C49" s="45"/>
      <c r="D49" s="56"/>
      <c r="E49" s="45"/>
      <c r="F49" s="64"/>
      <c r="G49" s="13"/>
      <c r="H49" s="65"/>
      <c r="I49" s="41"/>
      <c r="J49" s="45"/>
      <c r="K49" s="56"/>
      <c r="L49" s="45"/>
      <c r="M49" s="45"/>
    </row>
    <row r="50" spans="1:13">
      <c r="B50" s="43"/>
      <c r="C50" s="43"/>
      <c r="D50" s="57"/>
      <c r="E50" s="43"/>
      <c r="F50" s="59"/>
      <c r="H50" s="58"/>
      <c r="I50" s="39"/>
      <c r="J50" s="43"/>
      <c r="K50" s="57"/>
      <c r="L50" s="43"/>
      <c r="M50" s="43"/>
    </row>
    <row r="51" spans="1:13">
      <c r="A51" s="10" t="s">
        <v>314</v>
      </c>
      <c r="B51" s="43"/>
      <c r="C51" s="43"/>
      <c r="D51" s="57"/>
      <c r="E51" s="43"/>
      <c r="F51" s="59"/>
      <c r="H51" s="58"/>
      <c r="I51" s="39"/>
      <c r="J51" s="43"/>
      <c r="K51" s="57"/>
      <c r="L51" s="43"/>
      <c r="M51" s="43"/>
    </row>
    <row r="52" spans="1:13">
      <c r="A52" s="10" t="s">
        <v>293</v>
      </c>
      <c r="B52" s="43"/>
      <c r="C52" s="43"/>
      <c r="D52" s="57"/>
      <c r="E52" s="43"/>
      <c r="F52" s="59"/>
      <c r="H52" s="58"/>
      <c r="I52" s="39"/>
      <c r="J52" s="43"/>
      <c r="K52" s="57"/>
      <c r="L52" s="43"/>
      <c r="M52" s="43"/>
    </row>
    <row r="53" spans="1:13">
      <c r="A53" s="10" t="s">
        <v>294</v>
      </c>
      <c r="B53" s="43"/>
      <c r="C53" s="43"/>
      <c r="D53" s="57"/>
      <c r="E53" s="43"/>
      <c r="F53" s="59"/>
      <c r="H53" s="58"/>
      <c r="I53" s="39"/>
      <c r="J53" s="43"/>
      <c r="K53" s="57"/>
      <c r="L53" s="43"/>
      <c r="M53" s="43"/>
    </row>
    <row r="54" spans="1:13">
      <c r="A54" s="10" t="s">
        <v>295</v>
      </c>
      <c r="B54" s="43"/>
      <c r="C54" s="43"/>
      <c r="D54" s="57"/>
      <c r="E54" s="43"/>
      <c r="F54" s="59"/>
      <c r="H54" s="58"/>
      <c r="I54" s="39"/>
      <c r="J54" s="43"/>
      <c r="K54" s="57"/>
      <c r="L54" s="43"/>
      <c r="M54" s="43"/>
    </row>
    <row r="55" spans="1:13">
      <c r="A55" s="10" t="s">
        <v>309</v>
      </c>
      <c r="B55" s="43"/>
      <c r="C55" s="43"/>
      <c r="D55" s="57"/>
      <c r="E55" s="43"/>
      <c r="F55" s="59"/>
      <c r="H55" s="58"/>
      <c r="I55" s="39"/>
      <c r="J55" s="43"/>
      <c r="K55" s="57"/>
      <c r="L55" s="43"/>
      <c r="M55" s="43"/>
    </row>
    <row r="56" spans="1:13">
      <c r="A56" s="10" t="s">
        <v>297</v>
      </c>
      <c r="B56" s="43"/>
      <c r="C56" s="43"/>
      <c r="D56" s="57"/>
      <c r="E56" s="43"/>
      <c r="F56" s="59"/>
      <c r="H56" s="58"/>
      <c r="I56" s="39"/>
      <c r="J56" s="43"/>
      <c r="K56" s="57"/>
      <c r="L56" s="43"/>
      <c r="M56" s="43"/>
    </row>
    <row r="57" spans="1:13">
      <c r="A57" s="10" t="s">
        <v>298</v>
      </c>
      <c r="B57" s="43"/>
      <c r="C57" s="43"/>
      <c r="D57" s="57"/>
      <c r="E57" s="43"/>
      <c r="F57" s="59"/>
      <c r="H57" s="58"/>
      <c r="I57" s="39"/>
      <c r="J57" s="43"/>
      <c r="K57" s="57"/>
      <c r="L57" s="43"/>
      <c r="M57" s="43"/>
    </row>
    <row r="58" spans="1:13">
      <c r="A58" s="10" t="s">
        <v>299</v>
      </c>
      <c r="B58" s="43"/>
      <c r="C58" s="43"/>
      <c r="D58" s="57"/>
      <c r="E58" s="43"/>
      <c r="F58" s="59"/>
      <c r="H58" s="58"/>
      <c r="I58" s="39"/>
      <c r="J58" s="43"/>
      <c r="K58" s="57"/>
      <c r="L58" s="43"/>
      <c r="M58" s="43"/>
    </row>
    <row r="59" spans="1:13">
      <c r="A59" s="10" t="s">
        <v>300</v>
      </c>
      <c r="B59" s="43"/>
      <c r="C59" s="43"/>
      <c r="D59" s="57"/>
      <c r="E59" s="43"/>
      <c r="F59" s="59"/>
      <c r="H59" s="58"/>
      <c r="I59" s="39"/>
      <c r="J59" s="43"/>
      <c r="K59" s="57"/>
      <c r="L59" s="43"/>
      <c r="M59" s="43"/>
    </row>
    <row r="60" spans="1:13">
      <c r="A60" s="13" t="s">
        <v>312</v>
      </c>
      <c r="B60" s="45"/>
      <c r="C60" s="45"/>
      <c r="D60" s="56"/>
      <c r="E60" s="45"/>
      <c r="F60" s="64"/>
      <c r="G60" s="13"/>
      <c r="H60" s="65"/>
      <c r="I60" s="41"/>
      <c r="J60" s="45"/>
      <c r="K60" s="56"/>
      <c r="L60" s="45"/>
      <c r="M60" s="45"/>
    </row>
    <row r="61" spans="1:13">
      <c r="B61" s="43"/>
      <c r="C61" s="43"/>
      <c r="D61" s="57"/>
      <c r="E61" s="43"/>
      <c r="F61" s="59"/>
      <c r="H61" s="58"/>
      <c r="I61" s="39"/>
      <c r="J61" s="43"/>
      <c r="K61" s="57"/>
      <c r="L61" s="43"/>
      <c r="M61" s="43"/>
    </row>
    <row r="62" spans="1:13">
      <c r="A62" s="10" t="s">
        <v>315</v>
      </c>
      <c r="B62" s="43"/>
      <c r="C62" s="43"/>
      <c r="D62" s="57"/>
      <c r="E62" s="43"/>
      <c r="F62" s="59"/>
      <c r="H62" s="58"/>
      <c r="I62" s="39"/>
      <c r="J62" s="43"/>
      <c r="K62" s="57"/>
      <c r="L62" s="43"/>
      <c r="M62" s="43"/>
    </row>
    <row r="63" spans="1:13">
      <c r="A63" s="10" t="s">
        <v>293</v>
      </c>
      <c r="B63" s="43"/>
      <c r="C63" s="43"/>
      <c r="D63" s="57"/>
      <c r="E63" s="43"/>
      <c r="F63" s="59"/>
      <c r="H63" s="58"/>
      <c r="I63" s="39"/>
      <c r="J63" s="43"/>
      <c r="K63" s="57"/>
      <c r="L63" s="43"/>
      <c r="M63" s="43"/>
    </row>
    <row r="64" spans="1:13">
      <c r="A64" s="10" t="s">
        <v>294</v>
      </c>
      <c r="B64" s="43"/>
      <c r="C64" s="43"/>
      <c r="D64" s="57"/>
      <c r="E64" s="43"/>
      <c r="F64" s="59"/>
      <c r="H64" s="58"/>
      <c r="I64" s="39"/>
      <c r="J64" s="43"/>
      <c r="K64" s="57"/>
      <c r="L64" s="43"/>
      <c r="M64" s="43"/>
    </row>
    <row r="65" spans="1:13">
      <c r="A65" s="10" t="s">
        <v>295</v>
      </c>
      <c r="B65" s="43"/>
      <c r="C65" s="43"/>
      <c r="D65" s="57"/>
      <c r="E65" s="43"/>
      <c r="F65" s="59"/>
      <c r="H65" s="58"/>
      <c r="I65" s="39"/>
      <c r="J65" s="43"/>
      <c r="K65" s="57"/>
      <c r="L65" s="43"/>
      <c r="M65" s="43"/>
    </row>
    <row r="66" spans="1:13">
      <c r="A66" s="10" t="s">
        <v>309</v>
      </c>
      <c r="B66" s="43"/>
      <c r="C66" s="43"/>
      <c r="D66" s="57"/>
      <c r="E66" s="43"/>
      <c r="F66" s="59"/>
      <c r="H66" s="58"/>
      <c r="I66" s="39"/>
      <c r="J66" s="43"/>
      <c r="K66" s="57"/>
      <c r="L66" s="43"/>
      <c r="M66" s="43"/>
    </row>
    <row r="67" spans="1:13">
      <c r="A67" s="10" t="s">
        <v>297</v>
      </c>
      <c r="B67" s="43"/>
      <c r="C67" s="43"/>
      <c r="D67" s="57"/>
      <c r="E67" s="43"/>
      <c r="F67" s="59"/>
      <c r="H67" s="58"/>
      <c r="I67" s="39"/>
      <c r="J67" s="43"/>
      <c r="K67" s="57"/>
      <c r="L67" s="43"/>
      <c r="M67" s="43"/>
    </row>
    <row r="68" spans="1:13">
      <c r="A68" s="10" t="s">
        <v>298</v>
      </c>
      <c r="B68" s="43"/>
      <c r="C68" s="43"/>
      <c r="D68" s="57"/>
      <c r="E68" s="43"/>
      <c r="F68" s="59"/>
      <c r="H68" s="58"/>
      <c r="I68" s="39"/>
      <c r="J68" s="43"/>
      <c r="K68" s="57"/>
      <c r="L68" s="43"/>
      <c r="M68" s="43"/>
    </row>
    <row r="69" spans="1:13">
      <c r="A69" s="10" t="s">
        <v>299</v>
      </c>
      <c r="B69" s="43"/>
      <c r="C69" s="43"/>
      <c r="D69" s="57"/>
      <c r="E69" s="43"/>
      <c r="F69" s="59"/>
      <c r="H69" s="58"/>
      <c r="I69" s="39"/>
      <c r="J69" s="43"/>
      <c r="K69" s="57"/>
      <c r="L69" s="43"/>
      <c r="M69" s="43"/>
    </row>
    <row r="70" spans="1:13">
      <c r="A70" s="10" t="s">
        <v>300</v>
      </c>
      <c r="B70" s="43"/>
      <c r="C70" s="43"/>
      <c r="D70" s="57"/>
      <c r="E70" s="43"/>
      <c r="F70" s="59"/>
      <c r="H70" s="58"/>
      <c r="I70" s="39"/>
      <c r="J70" s="43"/>
      <c r="K70" s="57"/>
      <c r="L70" s="43"/>
      <c r="M70" s="43"/>
    </row>
    <row r="71" spans="1:13">
      <c r="A71" s="13" t="s">
        <v>209</v>
      </c>
      <c r="B71" s="45"/>
      <c r="C71" s="45"/>
      <c r="D71" s="56"/>
      <c r="E71" s="45"/>
      <c r="F71" s="64"/>
      <c r="G71" s="13"/>
      <c r="H71" s="65"/>
      <c r="I71" s="41"/>
      <c r="J71" s="45"/>
      <c r="K71" s="56"/>
      <c r="L71" s="45"/>
      <c r="M71" s="45"/>
    </row>
    <row r="72" spans="1:13">
      <c r="B72" s="43"/>
      <c r="C72" s="43"/>
      <c r="D72" s="57"/>
      <c r="E72" s="43"/>
      <c r="F72" s="59"/>
      <c r="H72" s="58"/>
      <c r="I72" s="39"/>
      <c r="J72" s="43"/>
      <c r="K72" s="57"/>
      <c r="L72" s="43"/>
      <c r="M72" s="43"/>
    </row>
    <row r="73" spans="1:13">
      <c r="A73" s="10" t="s">
        <v>316</v>
      </c>
      <c r="B73" s="43"/>
      <c r="C73" s="43"/>
      <c r="D73" s="57"/>
      <c r="E73" s="43"/>
      <c r="F73" s="59"/>
      <c r="H73" s="58"/>
      <c r="I73" s="39"/>
      <c r="J73" s="43"/>
      <c r="K73" s="57"/>
      <c r="L73" s="43"/>
      <c r="M73" s="43"/>
    </row>
    <row r="74" spans="1:13">
      <c r="A74" s="10" t="s">
        <v>293</v>
      </c>
      <c r="B74" s="43"/>
      <c r="C74" s="43"/>
      <c r="D74" s="57"/>
      <c r="E74" s="43"/>
      <c r="F74" s="59"/>
      <c r="H74" s="58"/>
      <c r="I74" s="39"/>
      <c r="J74" s="43"/>
      <c r="K74" s="57"/>
      <c r="L74" s="43"/>
      <c r="M74" s="43"/>
    </row>
    <row r="75" spans="1:13">
      <c r="A75" s="10" t="s">
        <v>294</v>
      </c>
      <c r="B75" s="43"/>
      <c r="C75" s="43"/>
      <c r="D75" s="57"/>
      <c r="E75" s="43"/>
      <c r="F75" s="59"/>
      <c r="H75" s="58"/>
      <c r="I75" s="39"/>
      <c r="J75" s="43"/>
      <c r="K75" s="57"/>
      <c r="L75" s="43"/>
      <c r="M75" s="43"/>
    </row>
    <row r="76" spans="1:13">
      <c r="A76" s="10" t="s">
        <v>295</v>
      </c>
      <c r="B76" s="43"/>
      <c r="C76" s="43"/>
      <c r="D76" s="57"/>
      <c r="E76" s="43"/>
      <c r="F76" s="59"/>
      <c r="H76" s="58"/>
      <c r="I76" s="39"/>
      <c r="J76" s="43"/>
      <c r="K76" s="57"/>
      <c r="L76" s="43"/>
      <c r="M76" s="43"/>
    </row>
    <row r="77" spans="1:13">
      <c r="A77" s="10" t="s">
        <v>309</v>
      </c>
      <c r="B77" s="43"/>
      <c r="C77" s="43"/>
      <c r="D77" s="57"/>
      <c r="E77" s="43"/>
      <c r="F77" s="59"/>
      <c r="H77" s="58"/>
      <c r="I77" s="39"/>
      <c r="J77" s="43"/>
      <c r="K77" s="57"/>
      <c r="L77" s="43"/>
      <c r="M77" s="43"/>
    </row>
    <row r="78" spans="1:13">
      <c r="A78" s="10" t="s">
        <v>297</v>
      </c>
      <c r="B78" s="43"/>
      <c r="C78" s="43"/>
      <c r="D78" s="57"/>
      <c r="E78" s="43"/>
      <c r="F78" s="59"/>
      <c r="H78" s="58"/>
      <c r="I78" s="39"/>
      <c r="J78" s="43"/>
      <c r="K78" s="57"/>
      <c r="L78" s="43"/>
      <c r="M78" s="43"/>
    </row>
    <row r="79" spans="1:13">
      <c r="A79" s="10" t="s">
        <v>298</v>
      </c>
      <c r="B79" s="43"/>
      <c r="C79" s="43"/>
      <c r="D79" s="57"/>
      <c r="E79" s="43"/>
      <c r="F79" s="59"/>
      <c r="H79" s="58"/>
      <c r="I79" s="39"/>
      <c r="J79" s="43"/>
      <c r="K79" s="57"/>
      <c r="L79" s="43"/>
      <c r="M79" s="43"/>
    </row>
    <row r="80" spans="1:13">
      <c r="A80" s="10" t="s">
        <v>299</v>
      </c>
      <c r="B80" s="43"/>
      <c r="C80" s="43"/>
      <c r="D80" s="57"/>
      <c r="E80" s="43"/>
      <c r="F80" s="59"/>
      <c r="H80" s="58"/>
      <c r="I80" s="39"/>
      <c r="J80" s="43"/>
      <c r="K80" s="57"/>
      <c r="L80" s="43"/>
      <c r="M80" s="43"/>
    </row>
    <row r="81" spans="1:13">
      <c r="A81" s="10" t="s">
        <v>300</v>
      </c>
      <c r="B81" s="43"/>
      <c r="C81" s="43"/>
      <c r="D81" s="57"/>
      <c r="E81" s="43"/>
      <c r="F81" s="59"/>
      <c r="H81" s="58"/>
      <c r="I81" s="39"/>
      <c r="J81" s="43"/>
      <c r="K81" s="57"/>
      <c r="L81" s="43"/>
      <c r="M81" s="43"/>
    </row>
    <row r="82" spans="1:13">
      <c r="A82" s="13" t="s">
        <v>209</v>
      </c>
      <c r="B82" s="45"/>
      <c r="C82" s="45"/>
      <c r="D82" s="56"/>
      <c r="E82" s="45"/>
      <c r="F82" s="64"/>
      <c r="G82" s="13"/>
      <c r="H82" s="65"/>
      <c r="I82" s="41"/>
      <c r="J82" s="45"/>
      <c r="K82" s="56"/>
      <c r="L82" s="45"/>
      <c r="M82" s="45"/>
    </row>
    <row r="83" spans="1:13">
      <c r="B83" s="43"/>
      <c r="C83" s="43"/>
      <c r="D83" s="57"/>
      <c r="E83" s="43"/>
      <c r="F83" s="59"/>
      <c r="H83" s="58"/>
      <c r="I83" s="39"/>
      <c r="J83" s="43"/>
      <c r="K83" s="57"/>
      <c r="L83" s="43"/>
      <c r="M83" s="43"/>
    </row>
    <row r="84" spans="1:13">
      <c r="A84" s="10" t="s">
        <v>317</v>
      </c>
      <c r="B84" s="43"/>
      <c r="C84" s="43"/>
      <c r="D84" s="57"/>
      <c r="E84" s="43"/>
      <c r="F84" s="59"/>
      <c r="H84" s="58"/>
      <c r="I84" s="39"/>
      <c r="J84" s="43"/>
      <c r="K84" s="57"/>
      <c r="L84" s="43"/>
      <c r="M84" s="43"/>
    </row>
    <row r="85" spans="1:13">
      <c r="A85" s="10" t="s">
        <v>293</v>
      </c>
      <c r="B85" s="43"/>
      <c r="C85" s="43"/>
      <c r="D85" s="57"/>
      <c r="E85" s="43"/>
      <c r="F85" s="59"/>
      <c r="H85" s="58"/>
      <c r="I85" s="39"/>
      <c r="J85" s="43"/>
      <c r="K85" s="57"/>
      <c r="L85" s="43"/>
      <c r="M85" s="43"/>
    </row>
    <row r="86" spans="1:13">
      <c r="A86" s="10" t="s">
        <v>294</v>
      </c>
      <c r="B86" s="43"/>
      <c r="C86" s="43"/>
      <c r="D86" s="57"/>
      <c r="E86" s="43"/>
      <c r="F86" s="59"/>
      <c r="H86" s="58"/>
      <c r="I86" s="39"/>
      <c r="J86" s="43"/>
      <c r="K86" s="57"/>
      <c r="L86" s="43"/>
      <c r="M86" s="43"/>
    </row>
    <row r="87" spans="1:13">
      <c r="A87" s="10" t="s">
        <v>295</v>
      </c>
      <c r="B87" s="43"/>
      <c r="C87" s="43"/>
      <c r="D87" s="57"/>
      <c r="E87" s="43"/>
      <c r="F87" s="59"/>
      <c r="H87" s="58"/>
      <c r="I87" s="39"/>
      <c r="J87" s="43"/>
      <c r="K87" s="57"/>
      <c r="L87" s="43"/>
      <c r="M87" s="43"/>
    </row>
    <row r="88" spans="1:13">
      <c r="A88" s="10" t="s">
        <v>309</v>
      </c>
      <c r="B88" s="43"/>
      <c r="C88" s="43"/>
      <c r="D88" s="57"/>
      <c r="E88" s="43"/>
      <c r="F88" s="59"/>
      <c r="H88" s="58"/>
      <c r="I88" s="39"/>
      <c r="J88" s="43"/>
      <c r="K88" s="57"/>
      <c r="L88" s="43"/>
      <c r="M88" s="43"/>
    </row>
    <row r="89" spans="1:13">
      <c r="A89" s="10" t="s">
        <v>297</v>
      </c>
      <c r="B89" s="43"/>
      <c r="C89" s="43"/>
      <c r="D89" s="57"/>
      <c r="E89" s="43"/>
      <c r="F89" s="59"/>
      <c r="H89" s="58"/>
      <c r="I89" s="39"/>
      <c r="J89" s="43"/>
      <c r="K89" s="57"/>
      <c r="L89" s="43"/>
      <c r="M89" s="43"/>
    </row>
    <row r="90" spans="1:13">
      <c r="A90" s="10" t="s">
        <v>298</v>
      </c>
      <c r="B90" s="43"/>
      <c r="C90" s="43"/>
      <c r="D90" s="57"/>
      <c r="E90" s="43"/>
      <c r="F90" s="59"/>
      <c r="H90" s="58"/>
      <c r="I90" s="39"/>
      <c r="J90" s="43"/>
      <c r="K90" s="57"/>
      <c r="L90" s="43"/>
      <c r="M90" s="43"/>
    </row>
    <row r="91" spans="1:13">
      <c r="A91" s="10" t="s">
        <v>299</v>
      </c>
      <c r="B91" s="43"/>
      <c r="C91" s="43"/>
      <c r="D91" s="57"/>
      <c r="E91" s="43"/>
      <c r="F91" s="59"/>
      <c r="H91" s="58"/>
      <c r="I91" s="39"/>
      <c r="J91" s="43"/>
      <c r="K91" s="57"/>
      <c r="L91" s="43"/>
      <c r="M91" s="43"/>
    </row>
    <row r="92" spans="1:13">
      <c r="A92" s="10" t="s">
        <v>300</v>
      </c>
      <c r="B92" s="43"/>
      <c r="C92" s="43"/>
      <c r="D92" s="57"/>
      <c r="E92" s="43"/>
      <c r="F92" s="59"/>
      <c r="H92" s="58"/>
      <c r="I92" s="39"/>
      <c r="J92" s="43"/>
      <c r="K92" s="57"/>
      <c r="L92" s="43"/>
      <c r="M92" s="43"/>
    </row>
    <row r="93" spans="1:13">
      <c r="A93" s="13" t="s">
        <v>312</v>
      </c>
      <c r="B93" s="45"/>
      <c r="C93" s="45"/>
      <c r="D93" s="56"/>
      <c r="E93" s="45"/>
      <c r="F93" s="64"/>
      <c r="G93" s="13"/>
      <c r="H93" s="65"/>
      <c r="I93" s="41"/>
      <c r="J93" s="45"/>
      <c r="K93" s="56"/>
      <c r="L93" s="45"/>
      <c r="M93" s="45"/>
    </row>
    <row r="94" spans="1:13">
      <c r="B94" s="43"/>
      <c r="C94" s="43"/>
      <c r="D94" s="57"/>
      <c r="E94" s="43"/>
      <c r="F94" s="59"/>
      <c r="H94" s="58"/>
      <c r="I94" s="39"/>
      <c r="J94" s="43"/>
      <c r="K94" s="57"/>
      <c r="L94" s="43"/>
      <c r="M94" s="43"/>
    </row>
    <row r="95" spans="1:13">
      <c r="A95" s="10" t="s">
        <v>318</v>
      </c>
      <c r="B95" s="43"/>
      <c r="C95" s="43"/>
      <c r="D95" s="57"/>
      <c r="E95" s="43"/>
      <c r="F95" s="59"/>
      <c r="H95" s="58"/>
      <c r="I95" s="39"/>
      <c r="J95" s="43"/>
      <c r="K95" s="57"/>
      <c r="L95" s="43"/>
      <c r="M95" s="43"/>
    </row>
    <row r="96" spans="1:13">
      <c r="A96" s="10" t="s">
        <v>293</v>
      </c>
      <c r="B96" s="43"/>
      <c r="C96" s="43"/>
      <c r="D96" s="57"/>
      <c r="E96" s="43"/>
      <c r="F96" s="59"/>
      <c r="H96" s="58"/>
      <c r="I96" s="39"/>
      <c r="J96" s="43"/>
      <c r="K96" s="57"/>
      <c r="L96" s="43"/>
      <c r="M96" s="43"/>
    </row>
    <row r="97" spans="1:13">
      <c r="A97" s="10" t="s">
        <v>294</v>
      </c>
      <c r="B97" s="43"/>
      <c r="C97" s="43"/>
      <c r="D97" s="57"/>
      <c r="E97" s="43"/>
      <c r="F97" s="59"/>
      <c r="H97" s="58"/>
      <c r="I97" s="39"/>
      <c r="J97" s="43"/>
      <c r="K97" s="57"/>
      <c r="L97" s="43"/>
      <c r="M97" s="43"/>
    </row>
    <row r="98" spans="1:13">
      <c r="A98" s="10" t="s">
        <v>295</v>
      </c>
      <c r="B98" s="43"/>
      <c r="C98" s="43"/>
      <c r="D98" s="57"/>
      <c r="E98" s="43"/>
      <c r="F98" s="59"/>
      <c r="H98" s="58"/>
      <c r="I98" s="39"/>
      <c r="J98" s="43"/>
      <c r="K98" s="57"/>
      <c r="L98" s="43"/>
      <c r="M98" s="43"/>
    </row>
    <row r="99" spans="1:13">
      <c r="A99" s="10" t="s">
        <v>309</v>
      </c>
      <c r="B99" s="43"/>
      <c r="C99" s="43"/>
      <c r="D99" s="57"/>
      <c r="E99" s="43"/>
      <c r="F99" s="59"/>
      <c r="H99" s="58"/>
      <c r="I99" s="39"/>
      <c r="J99" s="43"/>
      <c r="K99" s="57"/>
      <c r="L99" s="43"/>
      <c r="M99" s="43"/>
    </row>
    <row r="100" spans="1:13">
      <c r="A100" s="10" t="s">
        <v>297</v>
      </c>
      <c r="B100" s="43"/>
      <c r="C100" s="43"/>
      <c r="D100" s="57"/>
      <c r="E100" s="43"/>
      <c r="F100" s="59"/>
      <c r="H100" s="58"/>
      <c r="I100" s="39"/>
      <c r="J100" s="43"/>
      <c r="K100" s="57"/>
      <c r="L100" s="43"/>
      <c r="M100" s="43"/>
    </row>
    <row r="101" spans="1:13">
      <c r="A101" s="10" t="s">
        <v>298</v>
      </c>
      <c r="B101" s="43"/>
      <c r="C101" s="43"/>
      <c r="D101" s="57"/>
      <c r="E101" s="43"/>
      <c r="F101" s="59"/>
      <c r="H101" s="58"/>
      <c r="I101" s="39"/>
      <c r="J101" s="43"/>
      <c r="K101" s="57"/>
      <c r="L101" s="43"/>
      <c r="M101" s="43"/>
    </row>
    <row r="102" spans="1:13">
      <c r="A102" s="10" t="s">
        <v>299</v>
      </c>
      <c r="B102" s="43"/>
      <c r="C102" s="43"/>
      <c r="D102" s="57"/>
      <c r="E102" s="43"/>
      <c r="F102" s="59"/>
      <c r="H102" s="58"/>
      <c r="I102" s="39"/>
      <c r="J102" s="43"/>
      <c r="K102" s="57"/>
      <c r="L102" s="43"/>
      <c r="M102" s="43"/>
    </row>
    <row r="103" spans="1:13">
      <c r="A103" s="10" t="s">
        <v>300</v>
      </c>
      <c r="B103" s="43"/>
      <c r="C103" s="43"/>
      <c r="D103" s="57"/>
      <c r="E103" s="43"/>
      <c r="F103" s="59"/>
      <c r="H103" s="58"/>
      <c r="I103" s="39"/>
      <c r="J103" s="43"/>
      <c r="K103" s="57"/>
      <c r="L103" s="43"/>
      <c r="M103" s="43"/>
    </row>
    <row r="104" spans="1:13">
      <c r="A104" s="10" t="s">
        <v>312</v>
      </c>
      <c r="B104" s="43"/>
      <c r="C104" s="43"/>
      <c r="D104" s="57"/>
      <c r="E104" s="43"/>
      <c r="F104" s="59"/>
      <c r="H104" s="58"/>
      <c r="I104" s="39"/>
      <c r="J104" s="43"/>
      <c r="K104" s="57"/>
      <c r="L104" s="43"/>
      <c r="M104" s="43"/>
    </row>
    <row r="105" spans="1:13">
      <c r="A105" s="10" t="s">
        <v>319</v>
      </c>
      <c r="B105" s="43"/>
      <c r="C105" s="43"/>
      <c r="D105" s="57"/>
      <c r="E105" s="43"/>
      <c r="F105" s="59"/>
      <c r="H105" s="58"/>
      <c r="I105" s="39"/>
      <c r="J105" s="43"/>
      <c r="K105" s="57"/>
      <c r="L105" s="43"/>
      <c r="M105" s="43"/>
    </row>
    <row r="106" spans="1:13">
      <c r="B106" s="43"/>
      <c r="C106" s="43"/>
      <c r="D106" s="57"/>
      <c r="E106" s="43"/>
      <c r="F106" s="59"/>
      <c r="H106" s="58"/>
      <c r="I106" s="39"/>
      <c r="J106" s="43"/>
      <c r="K106" s="57"/>
      <c r="L106" s="43"/>
      <c r="M106" s="43"/>
    </row>
    <row r="107" spans="1:13">
      <c r="A107" s="12" t="s">
        <v>302</v>
      </c>
      <c r="B107" s="44"/>
      <c r="C107" s="44"/>
      <c r="D107" s="61"/>
      <c r="E107" s="44"/>
      <c r="F107" s="62"/>
      <c r="G107" s="12"/>
      <c r="H107" s="63"/>
      <c r="I107" s="40"/>
      <c r="J107" s="44"/>
      <c r="K107" s="61"/>
      <c r="L107" s="44"/>
      <c r="M107" s="44"/>
    </row>
    <row r="108" spans="1:13" ht="26.4">
      <c r="A108" s="49" t="s">
        <v>281</v>
      </c>
      <c r="B108" s="66" t="s">
        <v>282</v>
      </c>
      <c r="C108" s="66" t="s">
        <v>283</v>
      </c>
      <c r="D108" s="67" t="s">
        <v>284</v>
      </c>
      <c r="E108" s="66" t="s">
        <v>285</v>
      </c>
      <c r="F108" s="68" t="s">
        <v>286</v>
      </c>
      <c r="G108" s="49" t="s">
        <v>287</v>
      </c>
      <c r="H108" s="69" t="s">
        <v>288</v>
      </c>
      <c r="I108" s="70" t="s">
        <v>289</v>
      </c>
      <c r="J108" s="66" t="s">
        <v>184</v>
      </c>
      <c r="K108" s="67" t="s">
        <v>264</v>
      </c>
      <c r="L108" s="66" t="s">
        <v>290</v>
      </c>
      <c r="M108" s="66" t="s">
        <v>291</v>
      </c>
    </row>
    <row r="109" spans="1:13">
      <c r="A109" s="10" t="s">
        <v>308</v>
      </c>
      <c r="B109" s="43"/>
      <c r="C109" s="43"/>
      <c r="D109" s="57"/>
      <c r="E109" s="43"/>
      <c r="F109" s="59"/>
      <c r="H109" s="58"/>
      <c r="I109" s="39"/>
      <c r="J109" s="43"/>
      <c r="K109" s="57"/>
      <c r="L109" s="43"/>
      <c r="M109" s="43"/>
    </row>
    <row r="110" spans="1:13">
      <c r="A110" s="10" t="s">
        <v>293</v>
      </c>
      <c r="B110" s="43"/>
      <c r="C110" s="43"/>
      <c r="D110" s="57"/>
      <c r="E110" s="43"/>
      <c r="F110" s="59"/>
      <c r="H110" s="58"/>
      <c r="I110" s="39"/>
      <c r="J110" s="43"/>
      <c r="K110" s="57"/>
      <c r="L110" s="43"/>
      <c r="M110" s="43"/>
    </row>
    <row r="111" spans="1:13">
      <c r="A111" s="10" t="s">
        <v>294</v>
      </c>
      <c r="B111" s="43"/>
      <c r="C111" s="43"/>
      <c r="D111" s="57"/>
      <c r="E111" s="43"/>
      <c r="F111" s="59"/>
      <c r="H111" s="58"/>
      <c r="I111" s="39"/>
      <c r="J111" s="43"/>
      <c r="K111" s="57"/>
      <c r="L111" s="43"/>
      <c r="M111" s="43"/>
    </row>
    <row r="112" spans="1:13">
      <c r="A112" s="10" t="s">
        <v>295</v>
      </c>
      <c r="B112" s="43"/>
      <c r="C112" s="43"/>
      <c r="D112" s="57"/>
      <c r="E112" s="43"/>
      <c r="F112" s="59"/>
      <c r="H112" s="58"/>
      <c r="I112" s="39"/>
      <c r="J112" s="43"/>
      <c r="K112" s="57"/>
      <c r="L112" s="43"/>
      <c r="M112" s="43"/>
    </row>
    <row r="113" spans="1:13">
      <c r="A113" s="10" t="s">
        <v>309</v>
      </c>
      <c r="B113" s="43"/>
      <c r="C113" s="43"/>
      <c r="D113" s="57"/>
      <c r="E113" s="43"/>
      <c r="F113" s="59"/>
      <c r="H113" s="58"/>
      <c r="I113" s="39"/>
      <c r="J113" s="43"/>
      <c r="K113" s="57"/>
      <c r="L113" s="43"/>
      <c r="M113" s="43"/>
    </row>
    <row r="114" spans="1:13">
      <c r="A114" s="10" t="s">
        <v>297</v>
      </c>
      <c r="B114" s="43"/>
      <c r="C114" s="43"/>
      <c r="D114" s="57"/>
      <c r="E114" s="43"/>
      <c r="F114" s="59"/>
      <c r="H114" s="58"/>
      <c r="I114" s="39"/>
      <c r="J114" s="43"/>
      <c r="K114" s="57"/>
      <c r="L114" s="43"/>
      <c r="M114" s="43"/>
    </row>
    <row r="115" spans="1:13">
      <c r="A115" s="10" t="s">
        <v>298</v>
      </c>
      <c r="B115" s="43"/>
      <c r="C115" s="43"/>
      <c r="D115" s="57"/>
      <c r="E115" s="43"/>
      <c r="F115" s="59"/>
      <c r="H115" s="58"/>
      <c r="I115" s="39"/>
      <c r="J115" s="43"/>
      <c r="K115" s="57"/>
      <c r="L115" s="43"/>
      <c r="M115" s="43"/>
    </row>
    <row r="116" spans="1:13">
      <c r="A116" s="10" t="s">
        <v>299</v>
      </c>
      <c r="B116" s="43"/>
      <c r="C116" s="43"/>
      <c r="D116" s="57"/>
      <c r="E116" s="43"/>
      <c r="F116" s="59"/>
      <c r="H116" s="58"/>
      <c r="I116" s="39"/>
      <c r="J116" s="43"/>
      <c r="K116" s="57"/>
      <c r="L116" s="43"/>
      <c r="M116" s="43"/>
    </row>
    <row r="117" spans="1:13">
      <c r="A117" s="10" t="s">
        <v>300</v>
      </c>
      <c r="B117" s="43"/>
      <c r="C117" s="43"/>
      <c r="D117" s="57"/>
      <c r="E117" s="43"/>
      <c r="F117" s="59"/>
      <c r="H117" s="58"/>
      <c r="I117" s="39"/>
      <c r="J117" s="43"/>
      <c r="K117" s="57"/>
      <c r="L117" s="43"/>
      <c r="M117" s="43"/>
    </row>
    <row r="118" spans="1:13">
      <c r="A118" s="13" t="s">
        <v>209</v>
      </c>
      <c r="B118" s="45"/>
      <c r="C118" s="45"/>
      <c r="D118" s="56"/>
      <c r="E118" s="45"/>
      <c r="F118" s="64"/>
      <c r="G118" s="13"/>
      <c r="H118" s="65"/>
      <c r="I118" s="41"/>
      <c r="J118" s="45"/>
      <c r="K118" s="56"/>
      <c r="L118" s="45"/>
      <c r="M118" s="45"/>
    </row>
    <row r="119" spans="1:13">
      <c r="B119" s="43"/>
      <c r="C119" s="43"/>
      <c r="D119" s="57"/>
      <c r="E119" s="43"/>
      <c r="F119" s="59"/>
      <c r="H119" s="58"/>
      <c r="I119" s="39"/>
      <c r="J119" s="43"/>
      <c r="K119" s="57"/>
      <c r="L119" s="43"/>
      <c r="M119" s="43"/>
    </row>
    <row r="120" spans="1:13">
      <c r="A120" s="10" t="s">
        <v>310</v>
      </c>
      <c r="B120" s="43"/>
      <c r="C120" s="43"/>
      <c r="D120" s="57"/>
      <c r="E120" s="43"/>
      <c r="F120" s="59"/>
      <c r="H120" s="58"/>
      <c r="I120" s="39"/>
      <c r="J120" s="43"/>
      <c r="K120" s="57"/>
      <c r="L120" s="43"/>
      <c r="M120" s="43"/>
    </row>
    <row r="121" spans="1:13">
      <c r="A121" s="10" t="s">
        <v>293</v>
      </c>
      <c r="B121" s="43"/>
      <c r="C121" s="43"/>
      <c r="D121" s="57"/>
      <c r="E121" s="43"/>
      <c r="F121" s="59"/>
      <c r="H121" s="58"/>
      <c r="I121" s="39"/>
      <c r="J121" s="43"/>
      <c r="K121" s="57"/>
      <c r="L121" s="43"/>
      <c r="M121" s="43"/>
    </row>
    <row r="122" spans="1:13">
      <c r="A122" s="10" t="s">
        <v>294</v>
      </c>
      <c r="B122" s="43"/>
      <c r="C122" s="43"/>
      <c r="D122" s="57"/>
      <c r="E122" s="43"/>
      <c r="F122" s="59"/>
      <c r="H122" s="58"/>
      <c r="I122" s="39"/>
      <c r="J122" s="43"/>
      <c r="K122" s="57"/>
      <c r="L122" s="43"/>
      <c r="M122" s="43"/>
    </row>
    <row r="123" spans="1:13">
      <c r="A123" s="10" t="s">
        <v>295</v>
      </c>
      <c r="B123" s="43"/>
      <c r="C123" s="43"/>
      <c r="D123" s="57"/>
      <c r="E123" s="43"/>
      <c r="F123" s="59"/>
      <c r="H123" s="58"/>
      <c r="I123" s="39"/>
      <c r="J123" s="43"/>
      <c r="K123" s="57"/>
      <c r="L123" s="43"/>
      <c r="M123" s="43"/>
    </row>
    <row r="124" spans="1:13">
      <c r="A124" s="10" t="s">
        <v>309</v>
      </c>
      <c r="B124" s="43"/>
      <c r="C124" s="43"/>
      <c r="D124" s="57"/>
      <c r="E124" s="43"/>
      <c r="F124" s="59"/>
      <c r="H124" s="58"/>
      <c r="I124" s="39"/>
      <c r="J124" s="43"/>
      <c r="K124" s="57"/>
      <c r="L124" s="43"/>
      <c r="M124" s="43"/>
    </row>
    <row r="125" spans="1:13">
      <c r="A125" s="10" t="s">
        <v>297</v>
      </c>
      <c r="B125" s="43"/>
      <c r="C125" s="43"/>
      <c r="D125" s="57"/>
      <c r="E125" s="43"/>
      <c r="F125" s="59"/>
      <c r="H125" s="58"/>
      <c r="I125" s="39"/>
      <c r="J125" s="43"/>
      <c r="K125" s="57"/>
      <c r="L125" s="43"/>
      <c r="M125" s="43"/>
    </row>
    <row r="126" spans="1:13">
      <c r="A126" s="10" t="s">
        <v>298</v>
      </c>
      <c r="B126" s="43"/>
      <c r="C126" s="43"/>
      <c r="D126" s="57"/>
      <c r="E126" s="43"/>
      <c r="F126" s="59"/>
      <c r="H126" s="58"/>
      <c r="I126" s="39"/>
      <c r="J126" s="43"/>
      <c r="K126" s="57"/>
      <c r="L126" s="43"/>
      <c r="M126" s="43"/>
    </row>
    <row r="127" spans="1:13">
      <c r="A127" s="10" t="s">
        <v>299</v>
      </c>
      <c r="B127" s="43"/>
      <c r="C127" s="43"/>
      <c r="D127" s="57"/>
      <c r="E127" s="43"/>
      <c r="F127" s="59"/>
      <c r="H127" s="58"/>
      <c r="I127" s="39"/>
      <c r="J127" s="43"/>
      <c r="K127" s="57"/>
      <c r="L127" s="43"/>
      <c r="M127" s="43"/>
    </row>
    <row r="128" spans="1:13">
      <c r="A128" s="10" t="s">
        <v>300</v>
      </c>
      <c r="B128" s="43"/>
      <c r="C128" s="43"/>
      <c r="D128" s="57"/>
      <c r="E128" s="43"/>
      <c r="F128" s="59"/>
      <c r="H128" s="58"/>
      <c r="I128" s="39"/>
      <c r="J128" s="43"/>
      <c r="K128" s="57"/>
      <c r="L128" s="43"/>
      <c r="M128" s="43"/>
    </row>
    <row r="129" spans="1:13">
      <c r="A129" s="13" t="s">
        <v>209</v>
      </c>
      <c r="B129" s="45"/>
      <c r="C129" s="45"/>
      <c r="D129" s="56"/>
      <c r="E129" s="45"/>
      <c r="F129" s="64"/>
      <c r="G129" s="13"/>
      <c r="H129" s="65"/>
      <c r="I129" s="41"/>
      <c r="J129" s="45"/>
      <c r="K129" s="56"/>
      <c r="L129" s="45"/>
      <c r="M129" s="45"/>
    </row>
    <row r="130" spans="1:13">
      <c r="B130" s="43"/>
      <c r="C130" s="43"/>
      <c r="D130" s="57"/>
      <c r="E130" s="43"/>
      <c r="F130" s="59"/>
      <c r="H130" s="58"/>
      <c r="I130" s="39"/>
      <c r="J130" s="43"/>
      <c r="K130" s="57"/>
      <c r="L130" s="43"/>
      <c r="M130" s="43"/>
    </row>
    <row r="131" spans="1:13">
      <c r="A131" s="10" t="s">
        <v>311</v>
      </c>
      <c r="B131" s="43"/>
      <c r="C131" s="43"/>
      <c r="D131" s="57"/>
      <c r="E131" s="43"/>
      <c r="F131" s="59"/>
      <c r="H131" s="58"/>
      <c r="I131" s="39"/>
      <c r="J131" s="43"/>
      <c r="K131" s="57"/>
      <c r="L131" s="43"/>
      <c r="M131" s="43"/>
    </row>
    <row r="132" spans="1:13">
      <c r="A132" s="10" t="s">
        <v>293</v>
      </c>
      <c r="B132" s="43"/>
      <c r="C132" s="43"/>
      <c r="D132" s="57"/>
      <c r="E132" s="43"/>
      <c r="F132" s="59"/>
      <c r="H132" s="58"/>
      <c r="I132" s="39"/>
      <c r="J132" s="43"/>
      <c r="K132" s="57"/>
      <c r="L132" s="43"/>
      <c r="M132" s="43"/>
    </row>
    <row r="133" spans="1:13">
      <c r="A133" s="10" t="s">
        <v>294</v>
      </c>
      <c r="B133" s="43"/>
      <c r="C133" s="43"/>
      <c r="D133" s="57"/>
      <c r="E133" s="43"/>
      <c r="F133" s="59"/>
      <c r="H133" s="58"/>
      <c r="I133" s="39"/>
      <c r="J133" s="43"/>
      <c r="K133" s="57"/>
      <c r="L133" s="43"/>
      <c r="M133" s="43"/>
    </row>
    <row r="134" spans="1:13">
      <c r="A134" s="10" t="s">
        <v>295</v>
      </c>
      <c r="B134" s="43"/>
      <c r="C134" s="43"/>
      <c r="D134" s="57"/>
      <c r="E134" s="43"/>
      <c r="F134" s="59"/>
      <c r="H134" s="58"/>
      <c r="I134" s="39"/>
      <c r="J134" s="43"/>
      <c r="K134" s="57"/>
      <c r="L134" s="43"/>
      <c r="M134" s="43"/>
    </row>
    <row r="135" spans="1:13">
      <c r="A135" s="10" t="s">
        <v>309</v>
      </c>
      <c r="B135" s="43"/>
      <c r="C135" s="43"/>
      <c r="D135" s="57"/>
      <c r="E135" s="43"/>
      <c r="F135" s="59"/>
      <c r="H135" s="58"/>
      <c r="I135" s="39"/>
      <c r="J135" s="43"/>
      <c r="K135" s="57"/>
      <c r="L135" s="43"/>
      <c r="M135" s="43"/>
    </row>
    <row r="136" spans="1:13">
      <c r="A136" s="10" t="s">
        <v>297</v>
      </c>
      <c r="B136" s="43"/>
      <c r="C136" s="43"/>
      <c r="D136" s="57"/>
      <c r="E136" s="43"/>
      <c r="F136" s="59"/>
      <c r="H136" s="58"/>
      <c r="I136" s="39"/>
      <c r="J136" s="43"/>
      <c r="K136" s="57"/>
      <c r="L136" s="43"/>
      <c r="M136" s="43"/>
    </row>
    <row r="137" spans="1:13">
      <c r="A137" s="10" t="s">
        <v>298</v>
      </c>
      <c r="B137" s="43"/>
      <c r="C137" s="43"/>
      <c r="D137" s="57"/>
      <c r="E137" s="43"/>
      <c r="F137" s="59"/>
      <c r="H137" s="58"/>
      <c r="I137" s="39"/>
      <c r="J137" s="43"/>
      <c r="K137" s="57"/>
      <c r="L137" s="43"/>
      <c r="M137" s="43"/>
    </row>
    <row r="138" spans="1:13">
      <c r="A138" s="10" t="s">
        <v>299</v>
      </c>
      <c r="B138" s="43"/>
      <c r="C138" s="43"/>
      <c r="D138" s="57"/>
      <c r="E138" s="43"/>
      <c r="F138" s="59"/>
      <c r="H138" s="58"/>
      <c r="I138" s="39"/>
      <c r="J138" s="43"/>
      <c r="K138" s="57"/>
      <c r="L138" s="43"/>
      <c r="M138" s="43"/>
    </row>
    <row r="139" spans="1:13">
      <c r="A139" s="10" t="s">
        <v>300</v>
      </c>
      <c r="B139" s="43"/>
      <c r="C139" s="43"/>
      <c r="D139" s="57"/>
      <c r="E139" s="43"/>
      <c r="F139" s="59"/>
      <c r="H139" s="58"/>
      <c r="I139" s="39"/>
      <c r="J139" s="43"/>
      <c r="K139" s="57"/>
      <c r="L139" s="43"/>
      <c r="M139" s="43"/>
    </row>
    <row r="140" spans="1:13">
      <c r="A140" s="13" t="s">
        <v>312</v>
      </c>
      <c r="B140" s="45"/>
      <c r="C140" s="45"/>
      <c r="D140" s="56"/>
      <c r="E140" s="45"/>
      <c r="F140" s="64"/>
      <c r="G140" s="13"/>
      <c r="H140" s="65"/>
      <c r="I140" s="41"/>
      <c r="J140" s="45"/>
      <c r="K140" s="56"/>
      <c r="L140" s="45"/>
      <c r="M140" s="45"/>
    </row>
    <row r="141" spans="1:13">
      <c r="B141" s="43"/>
      <c r="C141" s="43"/>
      <c r="D141" s="57"/>
      <c r="E141" s="43"/>
      <c r="F141" s="59"/>
      <c r="H141" s="58"/>
      <c r="I141" s="39"/>
      <c r="J141" s="43"/>
      <c r="K141" s="57"/>
      <c r="L141" s="43"/>
      <c r="M141" s="43"/>
    </row>
    <row r="142" spans="1:13">
      <c r="A142" s="10" t="s">
        <v>313</v>
      </c>
      <c r="B142" s="43"/>
      <c r="C142" s="43"/>
      <c r="D142" s="57"/>
      <c r="E142" s="43"/>
      <c r="F142" s="59"/>
      <c r="H142" s="58"/>
      <c r="I142" s="39"/>
      <c r="J142" s="43"/>
      <c r="K142" s="57"/>
      <c r="L142" s="43"/>
      <c r="M142" s="43"/>
    </row>
    <row r="143" spans="1:13">
      <c r="A143" s="10" t="s">
        <v>293</v>
      </c>
      <c r="B143" s="43"/>
      <c r="C143" s="43"/>
      <c r="D143" s="57"/>
      <c r="E143" s="43"/>
      <c r="F143" s="59"/>
      <c r="H143" s="58"/>
      <c r="I143" s="39"/>
      <c r="J143" s="43"/>
      <c r="K143" s="57"/>
      <c r="L143" s="43"/>
      <c r="M143" s="43"/>
    </row>
    <row r="144" spans="1:13">
      <c r="A144" s="10" t="s">
        <v>294</v>
      </c>
      <c r="B144" s="43"/>
      <c r="C144" s="43"/>
      <c r="D144" s="57"/>
      <c r="E144" s="43"/>
      <c r="F144" s="59"/>
      <c r="H144" s="58"/>
      <c r="I144" s="39"/>
      <c r="J144" s="43"/>
      <c r="K144" s="57"/>
      <c r="L144" s="43"/>
      <c r="M144" s="43"/>
    </row>
    <row r="145" spans="1:13">
      <c r="A145" s="10" t="s">
        <v>295</v>
      </c>
      <c r="B145" s="43"/>
      <c r="C145" s="43"/>
      <c r="D145" s="57"/>
      <c r="E145" s="43"/>
      <c r="F145" s="59"/>
      <c r="H145" s="58"/>
      <c r="I145" s="39"/>
      <c r="J145" s="43"/>
      <c r="K145" s="57"/>
      <c r="L145" s="43"/>
      <c r="M145" s="43"/>
    </row>
    <row r="146" spans="1:13">
      <c r="A146" s="10" t="s">
        <v>309</v>
      </c>
      <c r="B146" s="43"/>
      <c r="C146" s="43"/>
      <c r="D146" s="57"/>
      <c r="E146" s="43"/>
      <c r="F146" s="59"/>
      <c r="H146" s="58"/>
      <c r="I146" s="39"/>
      <c r="J146" s="43"/>
      <c r="K146" s="57"/>
      <c r="L146" s="43"/>
      <c r="M146" s="43"/>
    </row>
    <row r="147" spans="1:13">
      <c r="A147" s="10" t="s">
        <v>297</v>
      </c>
      <c r="B147" s="43"/>
      <c r="C147" s="43"/>
      <c r="D147" s="57"/>
      <c r="E147" s="43"/>
      <c r="F147" s="59"/>
      <c r="H147" s="58"/>
      <c r="I147" s="39"/>
      <c r="J147" s="43"/>
      <c r="K147" s="57"/>
      <c r="L147" s="43"/>
      <c r="M147" s="43"/>
    </row>
    <row r="148" spans="1:13">
      <c r="A148" s="10" t="s">
        <v>298</v>
      </c>
      <c r="B148" s="43"/>
      <c r="C148" s="43"/>
      <c r="D148" s="57"/>
      <c r="E148" s="43"/>
      <c r="F148" s="59"/>
      <c r="H148" s="58"/>
      <c r="I148" s="39"/>
      <c r="J148" s="43"/>
      <c r="K148" s="57"/>
      <c r="L148" s="43"/>
      <c r="M148" s="43"/>
    </row>
    <row r="149" spans="1:13">
      <c r="A149" s="10" t="s">
        <v>299</v>
      </c>
      <c r="B149" s="43"/>
      <c r="C149" s="43"/>
      <c r="D149" s="57"/>
      <c r="E149" s="43"/>
      <c r="F149" s="59"/>
      <c r="H149" s="58"/>
      <c r="I149" s="39"/>
      <c r="J149" s="43"/>
      <c r="K149" s="57"/>
      <c r="L149" s="43"/>
      <c r="M149" s="43"/>
    </row>
    <row r="150" spans="1:13">
      <c r="A150" s="10" t="s">
        <v>300</v>
      </c>
      <c r="B150" s="43"/>
      <c r="C150" s="43"/>
      <c r="D150" s="57"/>
      <c r="E150" s="43"/>
      <c r="F150" s="59"/>
      <c r="H150" s="58"/>
      <c r="I150" s="39"/>
      <c r="J150" s="43"/>
      <c r="K150" s="57"/>
      <c r="L150" s="43"/>
      <c r="M150" s="43"/>
    </row>
    <row r="151" spans="1:13">
      <c r="A151" s="13" t="s">
        <v>312</v>
      </c>
      <c r="B151" s="45"/>
      <c r="C151" s="45"/>
      <c r="D151" s="56"/>
      <c r="E151" s="45"/>
      <c r="F151" s="64"/>
      <c r="G151" s="13"/>
      <c r="H151" s="65"/>
      <c r="I151" s="41"/>
      <c r="J151" s="45"/>
      <c r="K151" s="56"/>
      <c r="L151" s="45"/>
      <c r="M151" s="45"/>
    </row>
    <row r="152" spans="1:13">
      <c r="B152" s="43"/>
      <c r="C152" s="43"/>
      <c r="D152" s="57"/>
      <c r="E152" s="43"/>
      <c r="F152" s="59"/>
      <c r="H152" s="58"/>
      <c r="I152" s="39"/>
      <c r="J152" s="43"/>
      <c r="K152" s="57"/>
      <c r="L152" s="43"/>
      <c r="M152" s="43"/>
    </row>
    <row r="153" spans="1:13">
      <c r="A153" s="10" t="s">
        <v>314</v>
      </c>
      <c r="B153" s="43"/>
      <c r="C153" s="43"/>
      <c r="D153" s="57"/>
      <c r="E153" s="43"/>
      <c r="F153" s="59"/>
      <c r="H153" s="58"/>
      <c r="I153" s="39"/>
      <c r="J153" s="43"/>
      <c r="K153" s="57"/>
      <c r="L153" s="43"/>
      <c r="M153" s="43"/>
    </row>
    <row r="154" spans="1:13">
      <c r="A154" s="10" t="s">
        <v>293</v>
      </c>
      <c r="B154" s="43"/>
      <c r="C154" s="43"/>
      <c r="D154" s="57"/>
      <c r="E154" s="43"/>
      <c r="F154" s="59"/>
      <c r="H154" s="58"/>
      <c r="I154" s="39"/>
      <c r="J154" s="43"/>
      <c r="K154" s="57"/>
      <c r="L154" s="43"/>
      <c r="M154" s="43"/>
    </row>
    <row r="155" spans="1:13">
      <c r="A155" s="10" t="s">
        <v>294</v>
      </c>
      <c r="B155" s="43"/>
      <c r="C155" s="43"/>
      <c r="D155" s="57"/>
      <c r="E155" s="43"/>
      <c r="F155" s="59"/>
      <c r="H155" s="58"/>
      <c r="I155" s="39"/>
      <c r="J155" s="43"/>
      <c r="K155" s="57"/>
      <c r="L155" s="43"/>
      <c r="M155" s="43"/>
    </row>
    <row r="156" spans="1:13">
      <c r="A156" s="10" t="s">
        <v>295</v>
      </c>
      <c r="B156" s="43"/>
      <c r="C156" s="43"/>
      <c r="D156" s="57"/>
      <c r="E156" s="43"/>
      <c r="F156" s="59"/>
      <c r="H156" s="58"/>
      <c r="I156" s="39"/>
      <c r="J156" s="43"/>
      <c r="K156" s="57"/>
      <c r="L156" s="43"/>
      <c r="M156" s="43"/>
    </row>
    <row r="157" spans="1:13">
      <c r="A157" s="10" t="s">
        <v>309</v>
      </c>
      <c r="B157" s="43"/>
      <c r="C157" s="43"/>
      <c r="D157" s="57"/>
      <c r="E157" s="43"/>
      <c r="F157" s="59"/>
      <c r="H157" s="58"/>
      <c r="I157" s="39"/>
      <c r="J157" s="43"/>
      <c r="K157" s="57"/>
      <c r="L157" s="43"/>
      <c r="M157" s="43"/>
    </row>
    <row r="158" spans="1:13">
      <c r="A158" s="10" t="s">
        <v>297</v>
      </c>
      <c r="B158" s="43"/>
      <c r="C158" s="43"/>
      <c r="D158" s="57"/>
      <c r="E158" s="43"/>
      <c r="F158" s="59"/>
      <c r="H158" s="58"/>
      <c r="I158" s="39"/>
      <c r="J158" s="43"/>
      <c r="K158" s="57"/>
      <c r="L158" s="43"/>
      <c r="M158" s="43"/>
    </row>
    <row r="159" spans="1:13">
      <c r="A159" s="10" t="s">
        <v>298</v>
      </c>
      <c r="B159" s="43"/>
      <c r="C159" s="43"/>
      <c r="D159" s="57"/>
      <c r="E159" s="43"/>
      <c r="F159" s="59"/>
      <c r="H159" s="58"/>
      <c r="I159" s="39"/>
      <c r="J159" s="43"/>
      <c r="K159" s="57"/>
      <c r="L159" s="43"/>
      <c r="M159" s="43"/>
    </row>
    <row r="160" spans="1:13">
      <c r="A160" s="10" t="s">
        <v>299</v>
      </c>
      <c r="B160" s="43"/>
      <c r="C160" s="43"/>
      <c r="D160" s="57"/>
      <c r="E160" s="43"/>
      <c r="F160" s="59"/>
      <c r="H160" s="58"/>
      <c r="I160" s="39"/>
      <c r="J160" s="43"/>
      <c r="K160" s="57"/>
      <c r="L160" s="43"/>
      <c r="M160" s="43"/>
    </row>
    <row r="161" spans="1:13">
      <c r="A161" s="10" t="s">
        <v>300</v>
      </c>
      <c r="B161" s="43"/>
      <c r="C161" s="43"/>
      <c r="D161" s="57"/>
      <c r="E161" s="43"/>
      <c r="F161" s="59"/>
      <c r="H161" s="58"/>
      <c r="I161" s="39"/>
      <c r="J161" s="43"/>
      <c r="K161" s="57"/>
      <c r="L161" s="43"/>
      <c r="M161" s="43"/>
    </row>
    <row r="162" spans="1:13">
      <c r="A162" s="13" t="s">
        <v>312</v>
      </c>
      <c r="B162" s="45"/>
      <c r="C162" s="45"/>
      <c r="D162" s="56"/>
      <c r="E162" s="45"/>
      <c r="F162" s="64"/>
      <c r="G162" s="13"/>
      <c r="H162" s="65"/>
      <c r="I162" s="41"/>
      <c r="J162" s="45"/>
      <c r="K162" s="56"/>
      <c r="L162" s="45"/>
      <c r="M162" s="45"/>
    </row>
    <row r="163" spans="1:13">
      <c r="B163" s="43"/>
      <c r="C163" s="43"/>
      <c r="D163" s="57"/>
      <c r="E163" s="43"/>
      <c r="F163" s="59"/>
      <c r="H163" s="58"/>
      <c r="I163" s="39"/>
      <c r="J163" s="43"/>
      <c r="K163" s="57"/>
      <c r="L163" s="43"/>
      <c r="M163" s="43"/>
    </row>
    <row r="164" spans="1:13">
      <c r="A164" s="12" t="s">
        <v>302</v>
      </c>
      <c r="B164" s="44"/>
      <c r="C164" s="44"/>
      <c r="D164" s="61"/>
      <c r="E164" s="44"/>
      <c r="F164" s="62"/>
      <c r="G164" s="12"/>
      <c r="H164" s="63"/>
      <c r="I164" s="40"/>
      <c r="J164" s="44"/>
      <c r="K164" s="61"/>
      <c r="L164" s="44"/>
      <c r="M164" s="44"/>
    </row>
    <row r="165" spans="1:13" ht="26.4">
      <c r="A165" s="49" t="s">
        <v>281</v>
      </c>
      <c r="B165" s="66" t="s">
        <v>282</v>
      </c>
      <c r="C165" s="66" t="s">
        <v>283</v>
      </c>
      <c r="D165" s="67" t="s">
        <v>284</v>
      </c>
      <c r="E165" s="66" t="s">
        <v>285</v>
      </c>
      <c r="F165" s="68" t="s">
        <v>286</v>
      </c>
      <c r="G165" s="49" t="s">
        <v>287</v>
      </c>
      <c r="H165" s="69" t="s">
        <v>288</v>
      </c>
      <c r="I165" s="70" t="s">
        <v>289</v>
      </c>
      <c r="J165" s="66" t="s">
        <v>184</v>
      </c>
      <c r="K165" s="67" t="s">
        <v>264</v>
      </c>
      <c r="L165" s="66" t="s">
        <v>290</v>
      </c>
      <c r="M165" s="66" t="s">
        <v>291</v>
      </c>
    </row>
    <row r="166" spans="1:13">
      <c r="A166" s="10" t="s">
        <v>315</v>
      </c>
      <c r="B166" s="43"/>
      <c r="C166" s="43"/>
      <c r="D166" s="57"/>
      <c r="E166" s="43"/>
      <c r="F166" s="59"/>
      <c r="H166" s="58"/>
      <c r="I166" s="39"/>
      <c r="J166" s="43"/>
      <c r="K166" s="57"/>
      <c r="L166" s="43"/>
      <c r="M166" s="43"/>
    </row>
    <row r="167" spans="1:13">
      <c r="A167" s="10" t="s">
        <v>293</v>
      </c>
      <c r="B167" s="43"/>
      <c r="C167" s="43"/>
      <c r="D167" s="57"/>
      <c r="E167" s="43"/>
      <c r="F167" s="59"/>
      <c r="H167" s="58"/>
      <c r="I167" s="39"/>
      <c r="J167" s="43"/>
      <c r="K167" s="57"/>
      <c r="L167" s="43"/>
      <c r="M167" s="43"/>
    </row>
    <row r="168" spans="1:13">
      <c r="A168" s="10" t="s">
        <v>294</v>
      </c>
      <c r="B168" s="43"/>
      <c r="C168" s="43"/>
      <c r="D168" s="57"/>
      <c r="E168" s="43"/>
      <c r="F168" s="59"/>
      <c r="H168" s="58"/>
      <c r="I168" s="39"/>
      <c r="J168" s="43"/>
      <c r="K168" s="57"/>
      <c r="L168" s="43"/>
      <c r="M168" s="43"/>
    </row>
    <row r="169" spans="1:13">
      <c r="A169" s="10" t="s">
        <v>295</v>
      </c>
      <c r="B169" s="43"/>
      <c r="C169" s="43"/>
      <c r="D169" s="57"/>
      <c r="E169" s="43"/>
      <c r="F169" s="59"/>
      <c r="H169" s="58"/>
      <c r="I169" s="39"/>
      <c r="J169" s="43"/>
      <c r="K169" s="57"/>
      <c r="L169" s="43"/>
      <c r="M169" s="43"/>
    </row>
    <row r="170" spans="1:13">
      <c r="A170" s="10" t="s">
        <v>309</v>
      </c>
      <c r="B170" s="43"/>
      <c r="C170" s="43"/>
      <c r="D170" s="57"/>
      <c r="E170" s="43"/>
      <c r="F170" s="59"/>
      <c r="H170" s="58"/>
      <c r="I170" s="39"/>
      <c r="J170" s="43"/>
      <c r="K170" s="57"/>
      <c r="L170" s="43"/>
      <c r="M170" s="43"/>
    </row>
    <row r="171" spans="1:13">
      <c r="A171" s="10" t="s">
        <v>297</v>
      </c>
      <c r="B171" s="43"/>
      <c r="C171" s="43"/>
      <c r="D171" s="57"/>
      <c r="E171" s="43"/>
      <c r="F171" s="59"/>
      <c r="H171" s="58"/>
      <c r="I171" s="39"/>
      <c r="J171" s="43"/>
      <c r="K171" s="57"/>
      <c r="L171" s="43"/>
      <c r="M171" s="43"/>
    </row>
    <row r="172" spans="1:13">
      <c r="A172" s="10" t="s">
        <v>298</v>
      </c>
      <c r="B172" s="43"/>
      <c r="C172" s="43"/>
      <c r="D172" s="57"/>
      <c r="E172" s="43"/>
      <c r="F172" s="59"/>
      <c r="H172" s="58"/>
      <c r="I172" s="39"/>
      <c r="J172" s="43"/>
      <c r="K172" s="57"/>
      <c r="L172" s="43"/>
      <c r="M172" s="43"/>
    </row>
    <row r="173" spans="1:13">
      <c r="A173" s="10" t="s">
        <v>299</v>
      </c>
      <c r="B173" s="43"/>
      <c r="C173" s="43"/>
      <c r="D173" s="57"/>
      <c r="E173" s="43"/>
      <c r="F173" s="59"/>
      <c r="H173" s="58"/>
      <c r="I173" s="39"/>
      <c r="J173" s="43"/>
      <c r="K173" s="57"/>
      <c r="L173" s="43"/>
      <c r="M173" s="43"/>
    </row>
    <row r="174" spans="1:13">
      <c r="A174" s="10" t="s">
        <v>300</v>
      </c>
      <c r="B174" s="43"/>
      <c r="C174" s="43"/>
      <c r="D174" s="57"/>
      <c r="E174" s="43"/>
      <c r="F174" s="59"/>
      <c r="H174" s="58"/>
      <c r="I174" s="39"/>
      <c r="J174" s="43"/>
      <c r="K174" s="57"/>
      <c r="L174" s="43"/>
      <c r="M174" s="43"/>
    </row>
    <row r="175" spans="1:13">
      <c r="A175" s="13" t="s">
        <v>209</v>
      </c>
      <c r="B175" s="45"/>
      <c r="C175" s="45"/>
      <c r="D175" s="56"/>
      <c r="E175" s="45"/>
      <c r="F175" s="64"/>
      <c r="G175" s="13"/>
      <c r="H175" s="65"/>
      <c r="I175" s="41"/>
      <c r="J175" s="45"/>
      <c r="K175" s="56"/>
      <c r="L175" s="45"/>
      <c r="M175" s="45"/>
    </row>
    <row r="176" spans="1:13">
      <c r="B176" s="43"/>
      <c r="C176" s="43"/>
      <c r="D176" s="57"/>
      <c r="E176" s="43"/>
      <c r="F176" s="59"/>
      <c r="H176" s="58"/>
      <c r="I176" s="39"/>
      <c r="J176" s="43"/>
      <c r="K176" s="57"/>
      <c r="L176" s="43"/>
      <c r="M176" s="43"/>
    </row>
    <row r="177" spans="1:13">
      <c r="A177" s="10" t="s">
        <v>316</v>
      </c>
      <c r="B177" s="43"/>
      <c r="C177" s="43"/>
      <c r="D177" s="57"/>
      <c r="E177" s="43"/>
      <c r="F177" s="59"/>
      <c r="H177" s="58"/>
      <c r="I177" s="39"/>
      <c r="J177" s="43"/>
      <c r="K177" s="57"/>
      <c r="L177" s="43"/>
      <c r="M177" s="43"/>
    </row>
    <row r="178" spans="1:13">
      <c r="A178" s="10" t="s">
        <v>293</v>
      </c>
      <c r="B178" s="43"/>
      <c r="C178" s="43"/>
      <c r="D178" s="57"/>
      <c r="E178" s="43"/>
      <c r="F178" s="59"/>
      <c r="H178" s="58"/>
      <c r="I178" s="39"/>
      <c r="J178" s="43"/>
      <c r="K178" s="57"/>
      <c r="L178" s="43"/>
      <c r="M178" s="43"/>
    </row>
    <row r="179" spans="1:13">
      <c r="A179" s="10" t="s">
        <v>294</v>
      </c>
      <c r="B179" s="43"/>
      <c r="C179" s="43"/>
      <c r="D179" s="57"/>
      <c r="E179" s="43"/>
      <c r="F179" s="59"/>
      <c r="H179" s="58"/>
      <c r="I179" s="39"/>
      <c r="J179" s="43"/>
      <c r="K179" s="57"/>
      <c r="L179" s="43"/>
      <c r="M179" s="43"/>
    </row>
    <row r="180" spans="1:13">
      <c r="A180" s="10" t="s">
        <v>295</v>
      </c>
      <c r="B180" s="43"/>
      <c r="C180" s="43"/>
      <c r="D180" s="57"/>
      <c r="E180" s="43"/>
      <c r="F180" s="59"/>
      <c r="H180" s="58"/>
      <c r="I180" s="39"/>
      <c r="J180" s="43"/>
      <c r="K180" s="57"/>
      <c r="L180" s="43"/>
      <c r="M180" s="43"/>
    </row>
    <row r="181" spans="1:13">
      <c r="A181" s="10" t="s">
        <v>309</v>
      </c>
      <c r="B181" s="43"/>
      <c r="C181" s="43"/>
      <c r="D181" s="57"/>
      <c r="E181" s="43"/>
      <c r="F181" s="59"/>
      <c r="H181" s="58"/>
      <c r="I181" s="39"/>
      <c r="J181" s="43"/>
      <c r="K181" s="57"/>
      <c r="L181" s="43"/>
      <c r="M181" s="43"/>
    </row>
    <row r="182" spans="1:13">
      <c r="A182" s="10" t="s">
        <v>297</v>
      </c>
      <c r="B182" s="43"/>
      <c r="C182" s="43"/>
      <c r="D182" s="57"/>
      <c r="E182" s="43"/>
      <c r="F182" s="59"/>
      <c r="H182" s="58"/>
      <c r="I182" s="39"/>
      <c r="J182" s="43"/>
      <c r="K182" s="57"/>
      <c r="L182" s="43"/>
      <c r="M182" s="43"/>
    </row>
    <row r="183" spans="1:13">
      <c r="A183" s="10" t="s">
        <v>298</v>
      </c>
      <c r="B183" s="43"/>
      <c r="C183" s="43"/>
      <c r="D183" s="57"/>
      <c r="E183" s="43"/>
      <c r="F183" s="59"/>
      <c r="H183" s="58"/>
      <c r="I183" s="39"/>
      <c r="J183" s="43"/>
      <c r="K183" s="57"/>
      <c r="L183" s="43"/>
      <c r="M183" s="43"/>
    </row>
    <row r="184" spans="1:13">
      <c r="A184" s="10" t="s">
        <v>299</v>
      </c>
      <c r="B184" s="43"/>
      <c r="C184" s="43"/>
      <c r="D184" s="57"/>
      <c r="E184" s="43"/>
      <c r="F184" s="59"/>
      <c r="H184" s="58"/>
      <c r="I184" s="39"/>
      <c r="J184" s="43"/>
      <c r="K184" s="57"/>
      <c r="L184" s="43"/>
      <c r="M184" s="43"/>
    </row>
    <row r="185" spans="1:13">
      <c r="A185" s="10" t="s">
        <v>300</v>
      </c>
      <c r="B185" s="43"/>
      <c r="C185" s="43"/>
      <c r="D185" s="57"/>
      <c r="E185" s="43"/>
      <c r="F185" s="59"/>
      <c r="H185" s="58"/>
      <c r="I185" s="39"/>
      <c r="J185" s="43"/>
      <c r="K185" s="57"/>
      <c r="L185" s="43"/>
      <c r="M185" s="43"/>
    </row>
    <row r="186" spans="1:13">
      <c r="A186" s="13" t="s">
        <v>312</v>
      </c>
      <c r="B186" s="45"/>
      <c r="C186" s="45"/>
      <c r="D186" s="56"/>
      <c r="E186" s="45"/>
      <c r="F186" s="64"/>
      <c r="G186" s="13"/>
      <c r="H186" s="65"/>
      <c r="I186" s="41"/>
      <c r="J186" s="45"/>
      <c r="K186" s="56"/>
      <c r="L186" s="45"/>
      <c r="M186" s="45"/>
    </row>
    <row r="187" spans="1:13">
      <c r="B187" s="43"/>
      <c r="C187" s="43"/>
      <c r="D187" s="57"/>
      <c r="E187" s="43"/>
      <c r="F187" s="59"/>
      <c r="H187" s="58"/>
      <c r="I187" s="39"/>
      <c r="J187" s="43"/>
      <c r="K187" s="57"/>
      <c r="L187" s="43"/>
      <c r="M187" s="43"/>
    </row>
    <row r="188" spans="1:13">
      <c r="A188" s="10" t="s">
        <v>317</v>
      </c>
      <c r="B188" s="43"/>
      <c r="C188" s="43"/>
      <c r="D188" s="57"/>
      <c r="E188" s="43"/>
      <c r="F188" s="59"/>
      <c r="H188" s="58"/>
      <c r="I188" s="39"/>
      <c r="J188" s="43"/>
      <c r="K188" s="57"/>
      <c r="L188" s="43"/>
      <c r="M188" s="43"/>
    </row>
    <row r="189" spans="1:13">
      <c r="A189" s="10" t="s">
        <v>293</v>
      </c>
      <c r="B189" s="43"/>
      <c r="C189" s="43"/>
      <c r="D189" s="57"/>
      <c r="E189" s="43"/>
      <c r="F189" s="59"/>
      <c r="H189" s="58"/>
      <c r="I189" s="39"/>
      <c r="J189" s="43"/>
      <c r="K189" s="57"/>
      <c r="L189" s="43"/>
      <c r="M189" s="43"/>
    </row>
    <row r="190" spans="1:13">
      <c r="A190" s="10" t="s">
        <v>294</v>
      </c>
      <c r="B190" s="43"/>
      <c r="C190" s="43"/>
      <c r="D190" s="57"/>
      <c r="E190" s="43"/>
      <c r="F190" s="59"/>
      <c r="H190" s="58"/>
      <c r="I190" s="39"/>
      <c r="J190" s="43"/>
      <c r="K190" s="57"/>
      <c r="L190" s="43"/>
      <c r="M190" s="43"/>
    </row>
    <row r="191" spans="1:13">
      <c r="A191" s="10" t="s">
        <v>295</v>
      </c>
      <c r="B191" s="43"/>
      <c r="C191" s="43"/>
      <c r="D191" s="57"/>
      <c r="E191" s="43"/>
      <c r="F191" s="59"/>
      <c r="H191" s="58"/>
      <c r="I191" s="39"/>
      <c r="J191" s="43"/>
      <c r="K191" s="57"/>
      <c r="L191" s="43"/>
      <c r="M191" s="43"/>
    </row>
    <row r="192" spans="1:13">
      <c r="A192" s="10" t="s">
        <v>309</v>
      </c>
      <c r="B192" s="43"/>
      <c r="C192" s="43"/>
      <c r="D192" s="57"/>
      <c r="E192" s="43"/>
      <c r="F192" s="59"/>
      <c r="H192" s="58"/>
      <c r="I192" s="39"/>
      <c r="J192" s="43"/>
      <c r="K192" s="57"/>
      <c r="L192" s="43"/>
      <c r="M192" s="43"/>
    </row>
    <row r="193" spans="1:13">
      <c r="A193" s="10" t="s">
        <v>297</v>
      </c>
      <c r="B193" s="43"/>
      <c r="C193" s="43"/>
      <c r="D193" s="57"/>
      <c r="E193" s="43"/>
      <c r="F193" s="59"/>
      <c r="H193" s="58"/>
      <c r="I193" s="39"/>
      <c r="J193" s="43"/>
      <c r="K193" s="57"/>
      <c r="L193" s="43"/>
      <c r="M193" s="43"/>
    </row>
    <row r="194" spans="1:13">
      <c r="A194" s="10" t="s">
        <v>298</v>
      </c>
      <c r="B194" s="43"/>
      <c r="C194" s="43"/>
      <c r="D194" s="57"/>
      <c r="E194" s="43"/>
      <c r="F194" s="59"/>
      <c r="H194" s="58"/>
      <c r="I194" s="39"/>
      <c r="J194" s="43"/>
      <c r="K194" s="57"/>
      <c r="L194" s="43"/>
      <c r="M194" s="43"/>
    </row>
    <row r="195" spans="1:13">
      <c r="A195" s="10" t="s">
        <v>299</v>
      </c>
      <c r="B195" s="43"/>
      <c r="C195" s="43"/>
      <c r="D195" s="57"/>
      <c r="E195" s="43"/>
      <c r="F195" s="59"/>
      <c r="H195" s="58"/>
      <c r="I195" s="39"/>
      <c r="J195" s="43"/>
      <c r="K195" s="57"/>
      <c r="L195" s="43"/>
      <c r="M195" s="43"/>
    </row>
    <row r="196" spans="1:13">
      <c r="A196" s="10" t="s">
        <v>300</v>
      </c>
      <c r="B196" s="43"/>
      <c r="C196" s="43"/>
      <c r="D196" s="57"/>
      <c r="E196" s="43"/>
      <c r="F196" s="59"/>
      <c r="H196" s="58"/>
      <c r="I196" s="39"/>
      <c r="J196" s="43"/>
      <c r="K196" s="57"/>
      <c r="L196" s="43"/>
      <c r="M196" s="43"/>
    </row>
    <row r="197" spans="1:13">
      <c r="A197" s="13" t="s">
        <v>312</v>
      </c>
      <c r="B197" s="45"/>
      <c r="C197" s="45"/>
      <c r="D197" s="56"/>
      <c r="E197" s="45"/>
      <c r="F197" s="64"/>
      <c r="G197" s="13"/>
      <c r="H197" s="65"/>
      <c r="I197" s="41"/>
      <c r="J197" s="45"/>
      <c r="K197" s="56"/>
      <c r="L197" s="45"/>
      <c r="M197" s="45"/>
    </row>
    <row r="198" spans="1:13">
      <c r="B198" s="43"/>
      <c r="C198" s="43"/>
      <c r="E198" s="43"/>
      <c r="F198" s="59"/>
      <c r="H198" s="58"/>
      <c r="I198" s="39"/>
      <c r="J198" s="43"/>
      <c r="K198" s="57"/>
      <c r="L198" s="43"/>
      <c r="M198" s="43"/>
    </row>
    <row r="199" spans="1:13">
      <c r="A199" s="10" t="s">
        <v>318</v>
      </c>
      <c r="B199" s="43"/>
      <c r="C199" s="43"/>
      <c r="E199" s="43"/>
      <c r="F199" s="59"/>
      <c r="H199" s="58"/>
      <c r="I199" s="39"/>
      <c r="J199" s="43"/>
      <c r="K199" s="57"/>
      <c r="L199" s="43"/>
      <c r="M199" s="43"/>
    </row>
    <row r="200" spans="1:13">
      <c r="A200" s="10" t="s">
        <v>293</v>
      </c>
      <c r="B200" s="43"/>
      <c r="C200" s="43"/>
      <c r="E200" s="43"/>
      <c r="F200" s="59"/>
      <c r="H200" s="58"/>
      <c r="I200" s="39"/>
      <c r="J200" s="43"/>
      <c r="K200" s="57"/>
      <c r="L200" s="43"/>
      <c r="M200" s="43"/>
    </row>
    <row r="201" spans="1:13">
      <c r="A201" s="10" t="s">
        <v>294</v>
      </c>
      <c r="B201" s="43"/>
      <c r="C201" s="43"/>
      <c r="E201" s="43"/>
      <c r="H201" s="58"/>
      <c r="I201" s="39"/>
      <c r="J201" s="43"/>
      <c r="K201" s="57"/>
      <c r="L201" s="43"/>
      <c r="M201" s="43"/>
    </row>
    <row r="202" spans="1:13">
      <c r="A202" s="10" t="s">
        <v>295</v>
      </c>
      <c r="B202" s="43"/>
      <c r="C202" s="43"/>
      <c r="E202" s="43"/>
      <c r="H202" s="58"/>
      <c r="I202" s="39"/>
      <c r="J202" s="43"/>
      <c r="K202" s="57"/>
      <c r="L202" s="43"/>
      <c r="M202" s="43"/>
    </row>
    <row r="203" spans="1:13">
      <c r="A203" s="10" t="s">
        <v>309</v>
      </c>
      <c r="B203" s="43"/>
      <c r="C203" s="43"/>
      <c r="E203" s="43"/>
      <c r="H203" s="58"/>
      <c r="I203" s="39"/>
      <c r="J203" s="43"/>
      <c r="K203" s="57"/>
      <c r="L203" s="43"/>
      <c r="M203" s="43"/>
    </row>
    <row r="204" spans="1:13">
      <c r="A204" s="10" t="s">
        <v>297</v>
      </c>
      <c r="B204" s="43"/>
      <c r="C204" s="43"/>
      <c r="E204" s="43"/>
      <c r="H204" s="58"/>
      <c r="I204" s="39"/>
      <c r="J204" s="39"/>
      <c r="K204" s="57"/>
      <c r="L204" s="43"/>
      <c r="M204" s="43"/>
    </row>
    <row r="205" spans="1:13">
      <c r="A205" s="10" t="s">
        <v>298</v>
      </c>
      <c r="B205" s="43"/>
      <c r="C205" s="43"/>
      <c r="H205" s="58"/>
      <c r="I205" s="39"/>
      <c r="J205" s="39"/>
      <c r="K205" s="57"/>
      <c r="L205" s="43"/>
      <c r="M205" s="43"/>
    </row>
    <row r="206" spans="1:13">
      <c r="A206" s="10" t="s">
        <v>299</v>
      </c>
      <c r="B206" s="43"/>
      <c r="C206" s="43"/>
      <c r="H206" s="58"/>
    </row>
    <row r="207" spans="1:13">
      <c r="A207" s="10" t="s">
        <v>300</v>
      </c>
      <c r="B207" s="43"/>
      <c r="C207" s="43"/>
      <c r="H207" s="58"/>
    </row>
    <row r="208" spans="1:13">
      <c r="A208" s="10" t="s">
        <v>312</v>
      </c>
      <c r="H208" s="58"/>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8"/>
  <sheetViews>
    <sheetView workbookViewId="0"/>
  </sheetViews>
  <sheetFormatPr defaultColWidth="9.109375" defaultRowHeight="13.2"/>
  <cols>
    <col min="1" max="1" width="37.88671875" style="10" customWidth="1"/>
    <col min="2" max="16384" width="9.109375" style="10"/>
  </cols>
  <sheetData>
    <row r="1" spans="1:13">
      <c r="A1" s="11" t="s">
        <v>320</v>
      </c>
    </row>
    <row r="5" spans="1:13">
      <c r="A5" s="12" t="s">
        <v>277</v>
      </c>
      <c r="B5" s="52" t="s">
        <v>192</v>
      </c>
      <c r="C5" s="52" t="s">
        <v>193</v>
      </c>
      <c r="D5" s="52" t="s">
        <v>211</v>
      </c>
      <c r="E5" s="52" t="s">
        <v>212</v>
      </c>
      <c r="F5" s="52" t="s">
        <v>213</v>
      </c>
      <c r="G5" s="52" t="s">
        <v>214</v>
      </c>
      <c r="H5" s="52" t="s">
        <v>215</v>
      </c>
      <c r="I5" s="52" t="s">
        <v>216</v>
      </c>
      <c r="J5" s="52" t="s">
        <v>278</v>
      </c>
      <c r="K5" s="52" t="s">
        <v>217</v>
      </c>
      <c r="L5" s="52" t="s">
        <v>279</v>
      </c>
      <c r="M5" s="52" t="s">
        <v>280</v>
      </c>
    </row>
    <row r="6" spans="1:13" ht="52.8">
      <c r="A6" s="13" t="s">
        <v>281</v>
      </c>
      <c r="B6" s="49" t="s">
        <v>282</v>
      </c>
      <c r="C6" s="49" t="s">
        <v>283</v>
      </c>
      <c r="D6" s="49" t="s">
        <v>284</v>
      </c>
      <c r="E6" s="49" t="s">
        <v>285</v>
      </c>
      <c r="F6" s="49" t="s">
        <v>286</v>
      </c>
      <c r="G6" s="49" t="s">
        <v>287</v>
      </c>
      <c r="H6" s="49" t="s">
        <v>288</v>
      </c>
      <c r="I6" s="49" t="s">
        <v>289</v>
      </c>
      <c r="J6" s="49" t="s">
        <v>184</v>
      </c>
      <c r="K6" s="49" t="s">
        <v>264</v>
      </c>
      <c r="L6" s="49" t="s">
        <v>290</v>
      </c>
      <c r="M6" s="49" t="s">
        <v>291</v>
      </c>
    </row>
    <row r="7" spans="1:13">
      <c r="A7" s="10" t="s">
        <v>321</v>
      </c>
    </row>
    <row r="8" spans="1:13">
      <c r="A8" s="10" t="s">
        <v>293</v>
      </c>
      <c r="B8" s="43"/>
      <c r="C8" s="43"/>
      <c r="D8" s="57"/>
      <c r="E8" s="43"/>
      <c r="F8" s="59"/>
      <c r="H8" s="58"/>
      <c r="I8" s="39"/>
      <c r="J8" s="43"/>
      <c r="K8" s="57"/>
      <c r="L8" s="43"/>
      <c r="M8" s="43"/>
    </row>
    <row r="9" spans="1:13">
      <c r="A9" s="10" t="s">
        <v>294</v>
      </c>
      <c r="B9" s="43"/>
      <c r="C9" s="43"/>
      <c r="D9" s="57"/>
      <c r="E9" s="43"/>
      <c r="F9" s="59"/>
      <c r="H9" s="58"/>
      <c r="I9" s="39"/>
      <c r="J9" s="43"/>
      <c r="K9" s="57"/>
      <c r="L9" s="43"/>
      <c r="M9" s="43"/>
    </row>
    <row r="10" spans="1:13">
      <c r="A10" s="10" t="s">
        <v>295</v>
      </c>
      <c r="B10" s="43"/>
      <c r="C10" s="43"/>
      <c r="D10" s="57"/>
      <c r="E10" s="43"/>
      <c r="F10" s="59"/>
      <c r="H10" s="58"/>
      <c r="I10" s="39"/>
      <c r="J10" s="43"/>
      <c r="K10" s="57"/>
      <c r="L10" s="43"/>
      <c r="M10" s="43"/>
    </row>
    <row r="11" spans="1:13">
      <c r="A11" s="10" t="s">
        <v>296</v>
      </c>
      <c r="B11" s="43"/>
      <c r="C11" s="43"/>
      <c r="D11" s="57"/>
      <c r="E11" s="43"/>
      <c r="F11" s="59"/>
      <c r="H11" s="58"/>
      <c r="I11" s="39"/>
      <c r="J11" s="43"/>
      <c r="K11" s="57"/>
      <c r="L11" s="43"/>
      <c r="M11" s="43"/>
    </row>
    <row r="12" spans="1:13">
      <c r="A12" s="10" t="s">
        <v>297</v>
      </c>
      <c r="B12" s="43"/>
      <c r="C12" s="43"/>
      <c r="D12" s="57"/>
      <c r="E12" s="43"/>
      <c r="F12" s="59"/>
      <c r="H12" s="58"/>
      <c r="I12" s="39"/>
      <c r="J12" s="43"/>
      <c r="K12" s="57"/>
      <c r="L12" s="43"/>
      <c r="M12" s="43"/>
    </row>
    <row r="13" spans="1:13">
      <c r="A13" s="10" t="s">
        <v>298</v>
      </c>
      <c r="B13" s="43"/>
      <c r="C13" s="43"/>
      <c r="D13" s="57"/>
      <c r="E13" s="43"/>
      <c r="F13" s="59"/>
      <c r="H13" s="58"/>
      <c r="I13" s="39"/>
      <c r="J13" s="43"/>
      <c r="K13" s="57"/>
      <c r="L13" s="43"/>
      <c r="M13" s="43"/>
    </row>
    <row r="14" spans="1:13">
      <c r="A14" s="10" t="s">
        <v>299</v>
      </c>
      <c r="B14" s="43"/>
      <c r="C14" s="43"/>
      <c r="D14" s="57"/>
      <c r="E14" s="43"/>
      <c r="F14" s="59"/>
      <c r="H14" s="58"/>
      <c r="I14" s="39"/>
      <c r="J14" s="43"/>
      <c r="K14" s="57"/>
      <c r="L14" s="43"/>
      <c r="M14" s="43"/>
    </row>
    <row r="15" spans="1:13">
      <c r="A15" s="10" t="s">
        <v>300</v>
      </c>
      <c r="B15" s="43"/>
      <c r="C15" s="43"/>
      <c r="D15" s="57"/>
      <c r="E15" s="43"/>
      <c r="F15" s="59"/>
      <c r="H15" s="58"/>
      <c r="I15" s="39"/>
      <c r="J15" s="43"/>
      <c r="K15" s="57"/>
      <c r="L15" s="43"/>
      <c r="M15" s="43"/>
    </row>
    <row r="16" spans="1:13">
      <c r="A16" s="13" t="s">
        <v>209</v>
      </c>
      <c r="B16" s="45"/>
      <c r="C16" s="45"/>
      <c r="D16" s="56"/>
      <c r="E16" s="45"/>
      <c r="F16" s="64"/>
      <c r="G16" s="13"/>
      <c r="H16" s="65"/>
      <c r="I16" s="41"/>
      <c r="J16" s="45"/>
      <c r="K16" s="56"/>
      <c r="L16" s="45"/>
      <c r="M16" s="45"/>
    </row>
    <row r="17" spans="1:13">
      <c r="B17" s="43"/>
      <c r="C17" s="43"/>
      <c r="D17" s="57"/>
      <c r="E17" s="43"/>
      <c r="F17" s="59"/>
      <c r="H17" s="58"/>
      <c r="I17" s="39"/>
      <c r="J17" s="43"/>
      <c r="K17" s="57"/>
      <c r="L17" s="43"/>
      <c r="M17" s="43"/>
    </row>
    <row r="18" spans="1:13">
      <c r="A18" s="10" t="s">
        <v>322</v>
      </c>
      <c r="B18" s="43"/>
      <c r="C18" s="43"/>
      <c r="D18" s="57"/>
      <c r="E18" s="43"/>
      <c r="F18" s="59"/>
      <c r="H18" s="58"/>
      <c r="I18" s="39"/>
      <c r="J18" s="43"/>
      <c r="K18" s="57"/>
      <c r="L18" s="43"/>
      <c r="M18" s="43"/>
    </row>
    <row r="19" spans="1:13">
      <c r="A19" s="10" t="s">
        <v>293</v>
      </c>
      <c r="B19" s="43"/>
      <c r="C19" s="43"/>
      <c r="D19" s="57"/>
      <c r="E19" s="43"/>
      <c r="F19" s="59"/>
      <c r="H19" s="58"/>
      <c r="I19" s="39"/>
      <c r="J19" s="43"/>
      <c r="K19" s="57"/>
      <c r="L19" s="43"/>
      <c r="M19" s="43"/>
    </row>
    <row r="20" spans="1:13">
      <c r="A20" s="10" t="s">
        <v>294</v>
      </c>
      <c r="B20" s="43"/>
      <c r="C20" s="43"/>
      <c r="D20" s="57"/>
      <c r="E20" s="43"/>
      <c r="F20" s="59"/>
      <c r="H20" s="58"/>
      <c r="I20" s="39"/>
      <c r="J20" s="43"/>
      <c r="K20" s="57"/>
      <c r="L20" s="43"/>
      <c r="M20" s="43"/>
    </row>
    <row r="21" spans="1:13">
      <c r="A21" s="10" t="s">
        <v>295</v>
      </c>
      <c r="B21" s="43"/>
      <c r="C21" s="43"/>
      <c r="D21" s="57"/>
      <c r="E21" s="43"/>
      <c r="F21" s="59"/>
      <c r="H21" s="58"/>
      <c r="I21" s="39"/>
      <c r="J21" s="43"/>
      <c r="K21" s="57"/>
      <c r="L21" s="43"/>
      <c r="M21" s="43"/>
    </row>
    <row r="22" spans="1:13">
      <c r="A22" s="10" t="s">
        <v>296</v>
      </c>
      <c r="B22" s="43"/>
      <c r="C22" s="43"/>
      <c r="D22" s="57"/>
      <c r="E22" s="43"/>
      <c r="F22" s="59"/>
      <c r="H22" s="58"/>
      <c r="I22" s="39"/>
      <c r="J22" s="43"/>
      <c r="K22" s="57"/>
      <c r="L22" s="43"/>
      <c r="M22" s="43"/>
    </row>
    <row r="23" spans="1:13">
      <c r="A23" s="10" t="s">
        <v>297</v>
      </c>
      <c r="B23" s="43"/>
      <c r="C23" s="43"/>
      <c r="D23" s="57"/>
      <c r="E23" s="43"/>
      <c r="F23" s="59"/>
      <c r="H23" s="58"/>
      <c r="I23" s="39"/>
      <c r="J23" s="43"/>
      <c r="K23" s="57"/>
      <c r="L23" s="43"/>
      <c r="M23" s="43"/>
    </row>
    <row r="24" spans="1:13">
      <c r="A24" s="10" t="s">
        <v>298</v>
      </c>
      <c r="B24" s="43"/>
      <c r="C24" s="43"/>
      <c r="D24" s="57"/>
      <c r="E24" s="43"/>
      <c r="F24" s="59"/>
      <c r="H24" s="58"/>
      <c r="I24" s="39"/>
      <c r="J24" s="43"/>
      <c r="K24" s="57"/>
      <c r="L24" s="43"/>
      <c r="M24" s="43"/>
    </row>
    <row r="25" spans="1:13">
      <c r="A25" s="10" t="s">
        <v>299</v>
      </c>
      <c r="B25" s="43"/>
      <c r="C25" s="43"/>
      <c r="D25" s="57"/>
      <c r="E25" s="43"/>
      <c r="F25" s="59"/>
      <c r="H25" s="58"/>
      <c r="I25" s="39"/>
      <c r="J25" s="43"/>
      <c r="K25" s="57"/>
      <c r="L25" s="43"/>
      <c r="M25" s="43"/>
    </row>
    <row r="26" spans="1:13">
      <c r="A26" s="10" t="s">
        <v>300</v>
      </c>
      <c r="B26" s="43"/>
      <c r="C26" s="43"/>
      <c r="D26" s="57"/>
      <c r="E26" s="43"/>
      <c r="F26" s="59"/>
      <c r="H26" s="58"/>
      <c r="I26" s="39"/>
      <c r="J26" s="43"/>
      <c r="K26" s="57"/>
      <c r="L26" s="43"/>
      <c r="M26" s="43"/>
    </row>
    <row r="27" spans="1:13">
      <c r="A27" s="13" t="s">
        <v>312</v>
      </c>
      <c r="B27" s="45"/>
      <c r="C27" s="45"/>
      <c r="D27" s="56"/>
      <c r="E27" s="45"/>
      <c r="F27" s="64"/>
      <c r="G27" s="13"/>
      <c r="H27" s="65"/>
      <c r="I27" s="41"/>
      <c r="J27" s="45"/>
      <c r="K27" s="56"/>
      <c r="L27" s="45"/>
      <c r="M27" s="45"/>
    </row>
    <row r="28" spans="1:13">
      <c r="B28" s="43"/>
      <c r="C28" s="43"/>
      <c r="D28" s="57"/>
      <c r="E28" s="43"/>
      <c r="F28" s="59"/>
      <c r="H28" s="58"/>
      <c r="I28" s="39"/>
      <c r="J28" s="43"/>
      <c r="K28" s="57"/>
      <c r="L28" s="43"/>
      <c r="M28" s="43"/>
    </row>
    <row r="29" spans="1:13">
      <c r="A29" s="10" t="s">
        <v>323</v>
      </c>
      <c r="B29" s="43"/>
      <c r="C29" s="43"/>
      <c r="D29" s="57"/>
      <c r="E29" s="43"/>
      <c r="F29" s="59"/>
      <c r="H29" s="58"/>
      <c r="I29" s="39"/>
      <c r="J29" s="43"/>
      <c r="K29" s="57"/>
      <c r="L29" s="43"/>
      <c r="M29" s="43"/>
    </row>
    <row r="30" spans="1:13">
      <c r="A30" s="10" t="s">
        <v>293</v>
      </c>
      <c r="B30" s="43"/>
      <c r="C30" s="43"/>
      <c r="D30" s="57"/>
      <c r="E30" s="43"/>
      <c r="F30" s="59"/>
      <c r="H30" s="58"/>
      <c r="I30" s="39"/>
      <c r="J30" s="43"/>
      <c r="K30" s="57"/>
      <c r="L30" s="43"/>
      <c r="M30" s="43"/>
    </row>
    <row r="31" spans="1:13">
      <c r="A31" s="10" t="s">
        <v>294</v>
      </c>
      <c r="B31" s="43"/>
      <c r="C31" s="43"/>
      <c r="D31" s="57"/>
      <c r="E31" s="43"/>
      <c r="F31" s="59"/>
      <c r="H31" s="58"/>
      <c r="I31" s="39"/>
      <c r="J31" s="43"/>
      <c r="K31" s="57"/>
      <c r="L31" s="43"/>
      <c r="M31" s="43"/>
    </row>
    <row r="32" spans="1:13">
      <c r="A32" s="10" t="s">
        <v>295</v>
      </c>
      <c r="B32" s="43"/>
      <c r="C32" s="43"/>
      <c r="D32" s="57"/>
      <c r="E32" s="43"/>
      <c r="F32" s="59"/>
      <c r="H32" s="58"/>
      <c r="I32" s="39"/>
      <c r="J32" s="43"/>
      <c r="K32" s="57"/>
      <c r="L32" s="43"/>
      <c r="M32" s="43"/>
    </row>
    <row r="33" spans="1:13">
      <c r="A33" s="10" t="s">
        <v>296</v>
      </c>
      <c r="B33" s="43"/>
      <c r="C33" s="43"/>
      <c r="D33" s="57"/>
      <c r="E33" s="43"/>
      <c r="F33" s="59"/>
      <c r="H33" s="58"/>
      <c r="I33" s="39"/>
      <c r="J33" s="43"/>
      <c r="K33" s="57"/>
      <c r="L33" s="43"/>
      <c r="M33" s="43"/>
    </row>
    <row r="34" spans="1:13">
      <c r="A34" s="10" t="s">
        <v>297</v>
      </c>
      <c r="B34" s="43"/>
      <c r="C34" s="43"/>
      <c r="D34" s="57"/>
      <c r="E34" s="43"/>
      <c r="F34" s="59"/>
      <c r="H34" s="58"/>
      <c r="I34" s="39"/>
      <c r="J34" s="43"/>
      <c r="K34" s="57"/>
      <c r="L34" s="43"/>
      <c r="M34" s="43"/>
    </row>
    <row r="35" spans="1:13">
      <c r="A35" s="10" t="s">
        <v>298</v>
      </c>
      <c r="B35" s="43"/>
      <c r="C35" s="43"/>
      <c r="D35" s="57"/>
      <c r="E35" s="43"/>
      <c r="F35" s="59"/>
      <c r="H35" s="58"/>
      <c r="I35" s="39"/>
      <c r="J35" s="43"/>
      <c r="K35" s="57"/>
      <c r="L35" s="43"/>
      <c r="M35" s="43"/>
    </row>
    <row r="36" spans="1:13">
      <c r="A36" s="10" t="s">
        <v>299</v>
      </c>
      <c r="B36" s="43"/>
      <c r="C36" s="43"/>
      <c r="D36" s="57"/>
      <c r="E36" s="43"/>
      <c r="F36" s="59"/>
      <c r="H36" s="58"/>
      <c r="I36" s="39"/>
      <c r="J36" s="43"/>
      <c r="K36" s="57"/>
      <c r="L36" s="43"/>
      <c r="M36" s="43"/>
    </row>
    <row r="37" spans="1:13">
      <c r="A37" s="10" t="s">
        <v>300</v>
      </c>
      <c r="B37" s="43"/>
      <c r="C37" s="43"/>
      <c r="D37" s="57"/>
      <c r="E37" s="43"/>
      <c r="F37" s="59"/>
      <c r="H37" s="58"/>
      <c r="I37" s="39"/>
      <c r="J37" s="43"/>
      <c r="K37" s="57"/>
      <c r="L37" s="43"/>
      <c r="M37" s="43"/>
    </row>
    <row r="38" spans="1:13">
      <c r="A38" s="13" t="s">
        <v>312</v>
      </c>
      <c r="B38" s="45"/>
      <c r="C38" s="45"/>
      <c r="D38" s="56"/>
      <c r="E38" s="45"/>
      <c r="F38" s="64"/>
      <c r="G38" s="13"/>
      <c r="H38" s="65"/>
      <c r="I38" s="41"/>
      <c r="J38" s="45"/>
      <c r="K38" s="56"/>
      <c r="L38" s="45"/>
      <c r="M38" s="45"/>
    </row>
    <row r="39" spans="1:13">
      <c r="B39" s="43"/>
      <c r="C39" s="43"/>
      <c r="D39" s="57"/>
      <c r="E39" s="43"/>
      <c r="F39" s="59"/>
      <c r="H39" s="58"/>
      <c r="I39" s="39"/>
      <c r="J39" s="43"/>
      <c r="K39" s="57"/>
      <c r="L39" s="43"/>
      <c r="M39" s="43"/>
    </row>
    <row r="40" spans="1:13">
      <c r="A40" s="10" t="s">
        <v>324</v>
      </c>
      <c r="B40" s="43"/>
      <c r="C40" s="43"/>
      <c r="D40" s="57"/>
      <c r="E40" s="43"/>
      <c r="F40" s="59"/>
      <c r="H40" s="58"/>
      <c r="I40" s="39"/>
      <c r="J40" s="43"/>
      <c r="K40" s="57"/>
      <c r="L40" s="43"/>
      <c r="M40" s="43"/>
    </row>
    <row r="41" spans="1:13">
      <c r="A41" s="10" t="s">
        <v>293</v>
      </c>
      <c r="B41" s="43"/>
      <c r="C41" s="43"/>
      <c r="D41" s="57"/>
      <c r="E41" s="43"/>
      <c r="F41" s="59"/>
      <c r="H41" s="58"/>
      <c r="I41" s="39"/>
      <c r="J41" s="43"/>
      <c r="K41" s="57"/>
      <c r="L41" s="43"/>
      <c r="M41" s="43"/>
    </row>
    <row r="42" spans="1:13">
      <c r="A42" s="10" t="s">
        <v>294</v>
      </c>
      <c r="B42" s="43"/>
      <c r="C42" s="43"/>
      <c r="D42" s="57"/>
      <c r="E42" s="43"/>
      <c r="F42" s="59"/>
      <c r="H42" s="58"/>
      <c r="I42" s="39"/>
      <c r="J42" s="43"/>
      <c r="K42" s="57"/>
      <c r="L42" s="43"/>
      <c r="M42" s="43"/>
    </row>
    <row r="43" spans="1:13">
      <c r="A43" s="10" t="s">
        <v>295</v>
      </c>
      <c r="B43" s="43"/>
      <c r="C43" s="43"/>
      <c r="D43" s="57"/>
      <c r="E43" s="43"/>
      <c r="F43" s="59"/>
      <c r="H43" s="58"/>
      <c r="I43" s="39"/>
      <c r="J43" s="43"/>
      <c r="K43" s="57"/>
      <c r="L43" s="43"/>
      <c r="M43" s="43"/>
    </row>
    <row r="44" spans="1:13">
      <c r="A44" s="10" t="s">
        <v>296</v>
      </c>
      <c r="B44" s="43"/>
      <c r="C44" s="43"/>
      <c r="D44" s="57"/>
      <c r="E44" s="43"/>
      <c r="F44" s="59"/>
      <c r="H44" s="58"/>
      <c r="I44" s="39"/>
      <c r="J44" s="43"/>
      <c r="K44" s="57"/>
      <c r="L44" s="43"/>
      <c r="M44" s="43"/>
    </row>
    <row r="45" spans="1:13">
      <c r="A45" s="10" t="s">
        <v>297</v>
      </c>
      <c r="B45" s="43"/>
      <c r="C45" s="43"/>
      <c r="D45" s="57"/>
      <c r="E45" s="43"/>
      <c r="F45" s="59"/>
      <c r="H45" s="58"/>
      <c r="I45" s="39"/>
      <c r="J45" s="43"/>
      <c r="K45" s="57"/>
      <c r="L45" s="43"/>
      <c r="M45" s="43"/>
    </row>
    <row r="46" spans="1:13">
      <c r="A46" s="10" t="s">
        <v>298</v>
      </c>
      <c r="B46" s="43"/>
      <c r="C46" s="43"/>
      <c r="D46" s="57"/>
      <c r="E46" s="43"/>
      <c r="F46" s="59"/>
      <c r="H46" s="58"/>
      <c r="I46" s="39"/>
      <c r="J46" s="43"/>
      <c r="K46" s="57"/>
      <c r="L46" s="43"/>
      <c r="M46" s="43"/>
    </row>
    <row r="47" spans="1:13">
      <c r="A47" s="10" t="s">
        <v>299</v>
      </c>
      <c r="B47" s="43"/>
      <c r="C47" s="43"/>
      <c r="D47" s="57"/>
      <c r="E47" s="43"/>
      <c r="F47" s="59"/>
      <c r="H47" s="58"/>
      <c r="I47" s="39"/>
      <c r="J47" s="43"/>
      <c r="K47" s="57"/>
      <c r="L47" s="43"/>
      <c r="M47" s="43"/>
    </row>
    <row r="48" spans="1:13">
      <c r="A48" s="10" t="s">
        <v>300</v>
      </c>
      <c r="B48" s="43"/>
      <c r="C48" s="43"/>
      <c r="D48" s="57"/>
      <c r="E48" s="43"/>
      <c r="F48" s="59"/>
      <c r="H48" s="58"/>
      <c r="I48" s="39"/>
      <c r="J48" s="43"/>
      <c r="K48" s="57"/>
      <c r="L48" s="43"/>
      <c r="M48" s="43"/>
    </row>
    <row r="49" spans="1:14">
      <c r="A49" s="13" t="s">
        <v>312</v>
      </c>
      <c r="B49" s="45"/>
      <c r="C49" s="45"/>
      <c r="D49" s="56"/>
      <c r="E49" s="45"/>
      <c r="F49" s="64"/>
      <c r="G49" s="13"/>
      <c r="H49" s="65"/>
      <c r="I49" s="41"/>
      <c r="J49" s="45"/>
      <c r="K49" s="56"/>
      <c r="L49" s="45"/>
      <c r="M49" s="45"/>
    </row>
    <row r="50" spans="1:14">
      <c r="B50" s="43"/>
      <c r="C50" s="43"/>
      <c r="D50" s="57"/>
      <c r="E50" s="43"/>
      <c r="F50" s="59"/>
      <c r="H50" s="58"/>
      <c r="I50" s="39"/>
      <c r="J50" s="43"/>
      <c r="K50" s="57"/>
      <c r="L50" s="43"/>
      <c r="M50" s="43"/>
    </row>
    <row r="51" spans="1:14">
      <c r="A51" s="10" t="s">
        <v>325</v>
      </c>
      <c r="B51" s="43"/>
      <c r="C51" s="43"/>
      <c r="D51" s="57"/>
      <c r="E51" s="43"/>
      <c r="F51" s="59"/>
      <c r="H51" s="58"/>
      <c r="I51" s="39"/>
      <c r="J51" s="43"/>
      <c r="K51" s="57"/>
      <c r="L51" s="43"/>
      <c r="M51" s="43"/>
    </row>
    <row r="52" spans="1:14">
      <c r="A52" s="10" t="s">
        <v>293</v>
      </c>
      <c r="B52" s="43"/>
      <c r="C52" s="43"/>
      <c r="D52" s="57"/>
      <c r="E52" s="43"/>
      <c r="F52" s="59"/>
      <c r="H52" s="58"/>
      <c r="I52" s="39"/>
      <c r="J52" s="43"/>
      <c r="K52" s="57"/>
      <c r="L52" s="43"/>
      <c r="M52" s="43"/>
    </row>
    <row r="53" spans="1:14">
      <c r="A53" s="10" t="s">
        <v>294</v>
      </c>
      <c r="B53" s="43"/>
      <c r="C53" s="43"/>
      <c r="D53" s="57"/>
      <c r="E53" s="43"/>
      <c r="F53" s="59"/>
      <c r="H53" s="58"/>
      <c r="I53" s="39"/>
      <c r="J53" s="43"/>
      <c r="K53" s="57"/>
      <c r="L53" s="43"/>
      <c r="M53" s="43"/>
    </row>
    <row r="54" spans="1:14">
      <c r="A54" s="10" t="s">
        <v>295</v>
      </c>
      <c r="B54" s="43"/>
      <c r="C54" s="43"/>
      <c r="D54" s="57"/>
      <c r="E54" s="43"/>
      <c r="F54" s="59"/>
      <c r="H54" s="58"/>
      <c r="I54" s="39"/>
      <c r="J54" s="43"/>
      <c r="K54" s="57"/>
      <c r="L54" s="43"/>
      <c r="M54" s="43"/>
    </row>
    <row r="55" spans="1:14">
      <c r="A55" s="10" t="s">
        <v>296</v>
      </c>
      <c r="B55" s="43"/>
      <c r="C55" s="43"/>
      <c r="D55" s="57"/>
      <c r="E55" s="43"/>
      <c r="F55" s="59"/>
      <c r="H55" s="58"/>
      <c r="I55" s="39"/>
      <c r="J55" s="43"/>
      <c r="K55" s="57"/>
      <c r="L55" s="43"/>
      <c r="M55" s="43"/>
    </row>
    <row r="56" spans="1:14">
      <c r="A56" s="10" t="s">
        <v>297</v>
      </c>
      <c r="B56" s="43"/>
      <c r="C56" s="43"/>
      <c r="D56" s="57"/>
      <c r="E56" s="43"/>
      <c r="F56" s="59"/>
      <c r="H56" s="58"/>
      <c r="I56" s="39"/>
      <c r="J56" s="43"/>
      <c r="K56" s="57"/>
      <c r="L56" s="43"/>
      <c r="M56" s="43"/>
    </row>
    <row r="57" spans="1:14">
      <c r="A57" s="10" t="s">
        <v>298</v>
      </c>
      <c r="B57" s="43"/>
      <c r="C57" s="43"/>
      <c r="D57" s="57"/>
      <c r="E57" s="43"/>
      <c r="F57" s="59"/>
      <c r="H57" s="58"/>
      <c r="I57" s="39"/>
      <c r="J57" s="43"/>
      <c r="K57" s="57"/>
      <c r="L57" s="43"/>
      <c r="M57" s="43"/>
    </row>
    <row r="58" spans="1:14">
      <c r="A58" s="10" t="s">
        <v>299</v>
      </c>
      <c r="B58" s="43"/>
      <c r="C58" s="43"/>
      <c r="D58" s="57"/>
      <c r="E58" s="43"/>
      <c r="F58" s="59"/>
      <c r="H58" s="58"/>
      <c r="I58" s="39"/>
      <c r="J58" s="43"/>
      <c r="K58" s="57"/>
      <c r="L58" s="43"/>
      <c r="M58" s="43"/>
    </row>
    <row r="59" spans="1:14">
      <c r="A59" s="10" t="s">
        <v>300</v>
      </c>
      <c r="B59" s="43"/>
      <c r="C59" s="43"/>
      <c r="D59" s="57"/>
      <c r="E59" s="43"/>
      <c r="F59" s="59"/>
      <c r="H59" s="58"/>
      <c r="I59" s="39"/>
      <c r="J59" s="43"/>
      <c r="K59" s="57"/>
      <c r="L59" s="43"/>
      <c r="M59" s="43"/>
    </row>
    <row r="60" spans="1:14">
      <c r="A60" s="13" t="s">
        <v>312</v>
      </c>
      <c r="B60" s="45"/>
      <c r="C60" s="45"/>
      <c r="D60" s="56"/>
      <c r="E60" s="45"/>
      <c r="F60" s="64"/>
      <c r="G60" s="13"/>
      <c r="H60" s="65"/>
      <c r="I60" s="41"/>
      <c r="J60" s="45"/>
      <c r="K60" s="56"/>
      <c r="L60" s="45"/>
      <c r="M60" s="45"/>
    </row>
    <row r="61" spans="1:14">
      <c r="B61" s="43"/>
      <c r="C61" s="43"/>
      <c r="D61" s="57"/>
      <c r="E61" s="43"/>
      <c r="F61" s="59"/>
      <c r="H61" s="58"/>
      <c r="I61" s="39"/>
      <c r="J61" s="43"/>
      <c r="K61" s="57"/>
      <c r="L61" s="43"/>
      <c r="M61" s="43"/>
    </row>
    <row r="62" spans="1:14">
      <c r="A62" s="12" t="s">
        <v>305</v>
      </c>
      <c r="B62" s="44"/>
      <c r="C62" s="44"/>
      <c r="D62" s="61"/>
      <c r="E62" s="44"/>
      <c r="F62" s="62"/>
      <c r="G62" s="12"/>
      <c r="H62" s="63"/>
      <c r="I62" s="40"/>
      <c r="J62" s="44"/>
      <c r="K62" s="61"/>
      <c r="L62" s="44"/>
      <c r="M62" s="44"/>
      <c r="N62" s="12"/>
    </row>
    <row r="63" spans="1:14" ht="52.8">
      <c r="A63" s="49" t="s">
        <v>281</v>
      </c>
      <c r="B63" s="66" t="s">
        <v>282</v>
      </c>
      <c r="C63" s="66" t="s">
        <v>283</v>
      </c>
      <c r="D63" s="67" t="s">
        <v>284</v>
      </c>
      <c r="E63" s="66" t="s">
        <v>285</v>
      </c>
      <c r="F63" s="68" t="s">
        <v>286</v>
      </c>
      <c r="G63" s="49" t="s">
        <v>287</v>
      </c>
      <c r="H63" s="69" t="s">
        <v>288</v>
      </c>
      <c r="I63" s="70" t="s">
        <v>289</v>
      </c>
      <c r="J63" s="66" t="s">
        <v>184</v>
      </c>
      <c r="K63" s="67" t="s">
        <v>264</v>
      </c>
      <c r="L63" s="66" t="s">
        <v>290</v>
      </c>
      <c r="M63" s="66" t="s">
        <v>291</v>
      </c>
    </row>
    <row r="64" spans="1:14">
      <c r="A64" s="10" t="s">
        <v>321</v>
      </c>
      <c r="B64" s="43"/>
      <c r="C64" s="43"/>
      <c r="D64" s="57"/>
      <c r="E64" s="43"/>
      <c r="F64" s="59"/>
      <c r="H64" s="58"/>
      <c r="I64" s="39"/>
      <c r="J64" s="43"/>
      <c r="K64" s="57"/>
      <c r="L64" s="43"/>
      <c r="M64" s="43"/>
    </row>
    <row r="65" spans="1:13">
      <c r="A65" s="10" t="s">
        <v>293</v>
      </c>
      <c r="B65" s="43"/>
      <c r="C65" s="43"/>
      <c r="D65" s="57"/>
      <c r="E65" s="43"/>
      <c r="F65" s="59"/>
      <c r="H65" s="58"/>
      <c r="I65" s="39"/>
      <c r="J65" s="43"/>
      <c r="K65" s="57"/>
      <c r="L65" s="43"/>
      <c r="M65" s="43"/>
    </row>
    <row r="66" spans="1:13">
      <c r="A66" s="10" t="s">
        <v>294</v>
      </c>
      <c r="B66" s="43"/>
      <c r="C66" s="43"/>
      <c r="D66" s="57"/>
      <c r="E66" s="43"/>
      <c r="F66" s="59"/>
      <c r="H66" s="58"/>
      <c r="I66" s="39"/>
      <c r="J66" s="43"/>
      <c r="K66" s="57"/>
      <c r="L66" s="43"/>
      <c r="M66" s="43"/>
    </row>
    <row r="67" spans="1:13">
      <c r="A67" s="10" t="s">
        <v>295</v>
      </c>
      <c r="B67" s="43"/>
      <c r="C67" s="43"/>
      <c r="D67" s="57"/>
      <c r="E67" s="43"/>
      <c r="F67" s="59"/>
      <c r="H67" s="58"/>
      <c r="I67" s="39"/>
      <c r="J67" s="43"/>
      <c r="K67" s="57"/>
      <c r="L67" s="43"/>
      <c r="M67" s="43"/>
    </row>
    <row r="68" spans="1:13">
      <c r="A68" s="10" t="s">
        <v>296</v>
      </c>
      <c r="B68" s="43"/>
      <c r="C68" s="43"/>
      <c r="D68" s="57"/>
      <c r="E68" s="43"/>
      <c r="F68" s="59"/>
      <c r="H68" s="58"/>
      <c r="I68" s="39"/>
      <c r="J68" s="43"/>
      <c r="K68" s="57"/>
      <c r="L68" s="43"/>
      <c r="M68" s="43"/>
    </row>
    <row r="69" spans="1:13">
      <c r="A69" s="10" t="s">
        <v>297</v>
      </c>
      <c r="B69" s="43"/>
      <c r="C69" s="43"/>
      <c r="D69" s="57"/>
      <c r="E69" s="43"/>
      <c r="F69" s="59"/>
      <c r="H69" s="58"/>
      <c r="I69" s="39"/>
      <c r="J69" s="43"/>
      <c r="K69" s="57"/>
      <c r="L69" s="43"/>
      <c r="M69" s="43"/>
    </row>
    <row r="70" spans="1:13">
      <c r="A70" s="10" t="s">
        <v>298</v>
      </c>
      <c r="B70" s="43"/>
      <c r="C70" s="43"/>
      <c r="D70" s="57"/>
      <c r="E70" s="43"/>
      <c r="F70" s="59"/>
      <c r="H70" s="58"/>
      <c r="I70" s="39"/>
      <c r="J70" s="43"/>
      <c r="K70" s="57"/>
      <c r="L70" s="43"/>
      <c r="M70" s="43"/>
    </row>
    <row r="71" spans="1:13">
      <c r="A71" s="10" t="s">
        <v>299</v>
      </c>
      <c r="B71" s="43"/>
      <c r="C71" s="43"/>
      <c r="D71" s="57"/>
      <c r="E71" s="43"/>
      <c r="F71" s="59"/>
      <c r="H71" s="58"/>
      <c r="I71" s="39"/>
      <c r="J71" s="43"/>
      <c r="K71" s="57"/>
      <c r="L71" s="43"/>
      <c r="M71" s="43"/>
    </row>
    <row r="72" spans="1:13">
      <c r="A72" s="10" t="s">
        <v>300</v>
      </c>
      <c r="B72" s="43"/>
      <c r="C72" s="43"/>
      <c r="D72" s="57"/>
      <c r="E72" s="43"/>
      <c r="F72" s="59"/>
      <c r="H72" s="58"/>
      <c r="I72" s="39"/>
      <c r="J72" s="43"/>
      <c r="K72" s="57"/>
      <c r="L72" s="43"/>
      <c r="M72" s="43"/>
    </row>
    <row r="73" spans="1:13">
      <c r="A73" s="13" t="s">
        <v>209</v>
      </c>
      <c r="B73" s="45"/>
      <c r="C73" s="45"/>
      <c r="D73" s="56"/>
      <c r="E73" s="45"/>
      <c r="F73" s="64"/>
      <c r="G73" s="13"/>
      <c r="H73" s="65"/>
      <c r="I73" s="41"/>
      <c r="J73" s="45"/>
      <c r="K73" s="56"/>
      <c r="L73" s="45"/>
      <c r="M73" s="45"/>
    </row>
    <row r="74" spans="1:13">
      <c r="B74" s="43"/>
      <c r="C74" s="43"/>
      <c r="D74" s="57"/>
      <c r="E74" s="43"/>
      <c r="F74" s="59"/>
      <c r="H74" s="58"/>
      <c r="I74" s="39"/>
      <c r="J74" s="43"/>
      <c r="K74" s="57"/>
      <c r="L74" s="43"/>
      <c r="M74" s="43"/>
    </row>
    <row r="75" spans="1:13">
      <c r="A75" s="10" t="s">
        <v>322</v>
      </c>
      <c r="B75" s="43"/>
      <c r="C75" s="43"/>
      <c r="D75" s="57"/>
      <c r="E75" s="43"/>
      <c r="F75" s="59"/>
      <c r="H75" s="58"/>
      <c r="I75" s="39"/>
      <c r="J75" s="43"/>
      <c r="K75" s="57"/>
      <c r="L75" s="43"/>
      <c r="M75" s="43"/>
    </row>
    <row r="76" spans="1:13">
      <c r="A76" s="10" t="s">
        <v>293</v>
      </c>
      <c r="B76" s="43"/>
      <c r="C76" s="43"/>
      <c r="D76" s="57"/>
      <c r="E76" s="43"/>
      <c r="F76" s="59"/>
      <c r="H76" s="58"/>
      <c r="I76" s="39"/>
      <c r="J76" s="43"/>
      <c r="K76" s="57"/>
      <c r="L76" s="43"/>
      <c r="M76" s="43"/>
    </row>
    <row r="77" spans="1:13">
      <c r="A77" s="10" t="s">
        <v>294</v>
      </c>
      <c r="B77" s="43"/>
      <c r="C77" s="43"/>
      <c r="D77" s="57"/>
      <c r="E77" s="43"/>
      <c r="F77" s="59"/>
      <c r="H77" s="58"/>
      <c r="I77" s="39"/>
      <c r="J77" s="43"/>
      <c r="K77" s="57"/>
      <c r="L77" s="43"/>
      <c r="M77" s="43"/>
    </row>
    <row r="78" spans="1:13">
      <c r="A78" s="10" t="s">
        <v>295</v>
      </c>
      <c r="B78" s="43"/>
      <c r="C78" s="43"/>
      <c r="D78" s="57"/>
      <c r="E78" s="43"/>
      <c r="F78" s="59"/>
      <c r="H78" s="58"/>
      <c r="I78" s="39"/>
      <c r="J78" s="43"/>
      <c r="K78" s="57"/>
      <c r="L78" s="43"/>
      <c r="M78" s="43"/>
    </row>
    <row r="79" spans="1:13">
      <c r="A79" s="10" t="s">
        <v>296</v>
      </c>
      <c r="B79" s="43"/>
      <c r="C79" s="43"/>
      <c r="D79" s="57"/>
      <c r="E79" s="43"/>
      <c r="F79" s="59"/>
      <c r="H79" s="58"/>
      <c r="I79" s="39"/>
      <c r="J79" s="43"/>
      <c r="K79" s="57"/>
      <c r="L79" s="43"/>
      <c r="M79" s="43"/>
    </row>
    <row r="80" spans="1:13">
      <c r="A80" s="10" t="s">
        <v>297</v>
      </c>
      <c r="B80" s="43"/>
      <c r="C80" s="43"/>
      <c r="D80" s="57"/>
      <c r="E80" s="43"/>
      <c r="F80" s="59"/>
      <c r="H80" s="58"/>
      <c r="I80" s="39"/>
      <c r="J80" s="43"/>
      <c r="K80" s="57"/>
      <c r="L80" s="43"/>
      <c r="M80" s="43"/>
    </row>
    <row r="81" spans="1:13">
      <c r="A81" s="10" t="s">
        <v>298</v>
      </c>
      <c r="B81" s="43"/>
      <c r="C81" s="43"/>
      <c r="D81" s="57"/>
      <c r="E81" s="43"/>
      <c r="F81" s="59"/>
      <c r="H81" s="58"/>
      <c r="I81" s="39"/>
      <c r="J81" s="43"/>
      <c r="K81" s="57"/>
      <c r="L81" s="43"/>
      <c r="M81" s="43"/>
    </row>
    <row r="82" spans="1:13">
      <c r="A82" s="10" t="s">
        <v>299</v>
      </c>
      <c r="B82" s="43"/>
      <c r="C82" s="43"/>
      <c r="D82" s="57"/>
      <c r="E82" s="43"/>
      <c r="F82" s="59"/>
      <c r="H82" s="58"/>
      <c r="I82" s="39"/>
      <c r="J82" s="43"/>
      <c r="K82" s="57"/>
      <c r="L82" s="43"/>
      <c r="M82" s="43"/>
    </row>
    <row r="83" spans="1:13">
      <c r="A83" s="10" t="s">
        <v>300</v>
      </c>
      <c r="B83" s="43"/>
      <c r="C83" s="43"/>
      <c r="D83" s="57"/>
      <c r="E83" s="43"/>
      <c r="F83" s="59"/>
      <c r="H83" s="58"/>
      <c r="I83" s="39"/>
      <c r="J83" s="43"/>
      <c r="K83" s="57"/>
      <c r="L83" s="43"/>
      <c r="M83" s="43"/>
    </row>
    <row r="84" spans="1:13">
      <c r="A84" s="13" t="s">
        <v>312</v>
      </c>
      <c r="B84" s="45"/>
      <c r="C84" s="45"/>
      <c r="D84" s="56"/>
      <c r="E84" s="45"/>
      <c r="F84" s="64"/>
      <c r="G84" s="13"/>
      <c r="H84" s="65"/>
      <c r="I84" s="41"/>
      <c r="J84" s="45"/>
      <c r="K84" s="56"/>
      <c r="L84" s="45"/>
      <c r="M84" s="45"/>
    </row>
    <row r="85" spans="1:13">
      <c r="B85" s="43"/>
      <c r="C85" s="43"/>
      <c r="D85" s="57"/>
      <c r="E85" s="43"/>
      <c r="F85" s="59"/>
      <c r="H85" s="58"/>
      <c r="I85" s="39"/>
      <c r="J85" s="43"/>
      <c r="K85" s="57"/>
      <c r="L85" s="43"/>
      <c r="M85" s="43"/>
    </row>
    <row r="86" spans="1:13">
      <c r="A86" s="10" t="s">
        <v>323</v>
      </c>
      <c r="B86" s="43"/>
      <c r="C86" s="43"/>
      <c r="D86" s="57"/>
      <c r="E86" s="43"/>
      <c r="F86" s="59"/>
      <c r="H86" s="58"/>
      <c r="I86" s="39"/>
      <c r="J86" s="43"/>
      <c r="K86" s="57"/>
      <c r="L86" s="43"/>
      <c r="M86" s="43"/>
    </row>
    <row r="87" spans="1:13">
      <c r="A87" s="10" t="s">
        <v>293</v>
      </c>
      <c r="B87" s="43"/>
      <c r="C87" s="43"/>
      <c r="D87" s="57"/>
      <c r="E87" s="43"/>
      <c r="F87" s="59"/>
      <c r="H87" s="58"/>
      <c r="I87" s="39"/>
      <c r="J87" s="43"/>
      <c r="K87" s="57"/>
      <c r="L87" s="43"/>
      <c r="M87" s="43"/>
    </row>
    <row r="88" spans="1:13">
      <c r="A88" s="10" t="s">
        <v>294</v>
      </c>
      <c r="B88" s="43"/>
      <c r="C88" s="43"/>
      <c r="D88" s="57"/>
      <c r="E88" s="43"/>
      <c r="F88" s="59"/>
      <c r="H88" s="58"/>
      <c r="I88" s="39"/>
      <c r="J88" s="43"/>
      <c r="K88" s="57"/>
      <c r="L88" s="43"/>
      <c r="M88" s="43"/>
    </row>
    <row r="89" spans="1:13">
      <c r="A89" s="10" t="s">
        <v>295</v>
      </c>
      <c r="B89" s="43"/>
      <c r="C89" s="43"/>
      <c r="D89" s="57"/>
      <c r="E89" s="43"/>
      <c r="F89" s="59"/>
      <c r="H89" s="58"/>
      <c r="I89" s="39"/>
      <c r="J89" s="43"/>
      <c r="K89" s="57"/>
      <c r="L89" s="43"/>
      <c r="M89" s="43"/>
    </row>
    <row r="90" spans="1:13">
      <c r="A90" s="10" t="s">
        <v>296</v>
      </c>
      <c r="B90" s="43"/>
      <c r="C90" s="43"/>
      <c r="D90" s="57"/>
      <c r="E90" s="43"/>
      <c r="F90" s="59"/>
      <c r="H90" s="58"/>
      <c r="I90" s="39"/>
      <c r="J90" s="43"/>
      <c r="K90" s="57"/>
      <c r="L90" s="43"/>
      <c r="M90" s="43"/>
    </row>
    <row r="91" spans="1:13">
      <c r="A91" s="10" t="s">
        <v>297</v>
      </c>
      <c r="B91" s="43"/>
      <c r="C91" s="43"/>
      <c r="D91" s="57"/>
      <c r="E91" s="43"/>
      <c r="F91" s="59"/>
      <c r="H91" s="58"/>
      <c r="I91" s="39"/>
      <c r="J91" s="43"/>
      <c r="K91" s="57"/>
      <c r="L91" s="43"/>
      <c r="M91" s="43"/>
    </row>
    <row r="92" spans="1:13">
      <c r="A92" s="10" t="s">
        <v>298</v>
      </c>
      <c r="B92" s="43"/>
      <c r="C92" s="43"/>
      <c r="D92" s="57"/>
      <c r="E92" s="43"/>
      <c r="F92" s="59"/>
      <c r="H92" s="58"/>
      <c r="I92" s="39"/>
      <c r="J92" s="43"/>
      <c r="K92" s="57"/>
      <c r="L92" s="43"/>
      <c r="M92" s="43"/>
    </row>
    <row r="93" spans="1:13">
      <c r="A93" s="10" t="s">
        <v>299</v>
      </c>
      <c r="B93" s="43"/>
      <c r="C93" s="43"/>
      <c r="D93" s="57"/>
      <c r="E93" s="43"/>
      <c r="F93" s="59"/>
      <c r="H93" s="58"/>
      <c r="I93" s="39"/>
      <c r="J93" s="43"/>
      <c r="K93" s="57"/>
      <c r="L93" s="43"/>
      <c r="M93" s="43"/>
    </row>
    <row r="94" spans="1:13">
      <c r="A94" s="10" t="s">
        <v>300</v>
      </c>
      <c r="B94" s="43"/>
      <c r="C94" s="43"/>
      <c r="D94" s="57"/>
      <c r="E94" s="43"/>
      <c r="F94" s="59"/>
      <c r="H94" s="58"/>
      <c r="I94" s="39"/>
      <c r="J94" s="43"/>
      <c r="K94" s="57"/>
      <c r="L94" s="43"/>
      <c r="M94" s="43"/>
    </row>
    <row r="95" spans="1:13">
      <c r="A95" s="13" t="s">
        <v>312</v>
      </c>
      <c r="B95" s="45"/>
      <c r="C95" s="45"/>
      <c r="D95" s="56"/>
      <c r="E95" s="45"/>
      <c r="F95" s="64"/>
      <c r="G95" s="13"/>
      <c r="H95" s="65"/>
      <c r="I95" s="41"/>
      <c r="J95" s="45"/>
      <c r="K95" s="56"/>
      <c r="L95" s="45"/>
      <c r="M95" s="45"/>
    </row>
    <row r="96" spans="1:13">
      <c r="B96" s="43"/>
      <c r="C96" s="43"/>
      <c r="D96" s="57"/>
      <c r="E96" s="43"/>
      <c r="F96" s="59"/>
      <c r="H96" s="58"/>
      <c r="I96" s="39"/>
      <c r="J96" s="43"/>
      <c r="K96" s="57"/>
      <c r="L96" s="43"/>
      <c r="M96" s="43"/>
    </row>
    <row r="97" spans="1:13">
      <c r="A97" s="10" t="s">
        <v>324</v>
      </c>
      <c r="B97" s="43"/>
      <c r="C97" s="43"/>
      <c r="D97" s="57"/>
      <c r="E97" s="43"/>
      <c r="F97" s="59"/>
      <c r="H97" s="58"/>
      <c r="I97" s="39"/>
      <c r="J97" s="43"/>
      <c r="K97" s="57"/>
      <c r="L97" s="43"/>
      <c r="M97" s="43"/>
    </row>
    <row r="98" spans="1:13">
      <c r="A98" s="10" t="s">
        <v>293</v>
      </c>
      <c r="B98" s="43"/>
      <c r="C98" s="43"/>
      <c r="D98" s="57"/>
      <c r="E98" s="43"/>
      <c r="F98" s="59"/>
      <c r="H98" s="58"/>
      <c r="I98" s="39"/>
      <c r="J98" s="43"/>
      <c r="K98" s="57"/>
      <c r="L98" s="43"/>
      <c r="M98" s="43"/>
    </row>
    <row r="99" spans="1:13">
      <c r="A99" s="10" t="s">
        <v>294</v>
      </c>
      <c r="B99" s="43"/>
      <c r="C99" s="43"/>
      <c r="D99" s="57"/>
      <c r="E99" s="43"/>
      <c r="F99" s="59"/>
      <c r="H99" s="58"/>
      <c r="I99" s="39"/>
      <c r="J99" s="43"/>
      <c r="K99" s="57"/>
      <c r="L99" s="43"/>
      <c r="M99" s="43"/>
    </row>
    <row r="100" spans="1:13">
      <c r="A100" s="10" t="s">
        <v>295</v>
      </c>
      <c r="B100" s="43"/>
      <c r="C100" s="43"/>
      <c r="D100" s="57"/>
      <c r="E100" s="43"/>
      <c r="F100" s="59"/>
      <c r="H100" s="58"/>
      <c r="I100" s="39"/>
      <c r="J100" s="43"/>
      <c r="K100" s="57"/>
      <c r="L100" s="43"/>
      <c r="M100" s="43"/>
    </row>
    <row r="101" spans="1:13">
      <c r="A101" s="10" t="s">
        <v>296</v>
      </c>
      <c r="B101" s="43"/>
      <c r="C101" s="43"/>
      <c r="D101" s="57"/>
      <c r="E101" s="43"/>
      <c r="F101" s="59"/>
      <c r="H101" s="58"/>
      <c r="I101" s="39"/>
      <c r="J101" s="43"/>
      <c r="K101" s="57"/>
      <c r="L101" s="43"/>
      <c r="M101" s="43"/>
    </row>
    <row r="102" spans="1:13">
      <c r="A102" s="10" t="s">
        <v>297</v>
      </c>
      <c r="B102" s="43"/>
      <c r="C102" s="43"/>
      <c r="D102" s="57"/>
      <c r="E102" s="43"/>
      <c r="F102" s="59"/>
      <c r="H102" s="58"/>
      <c r="I102" s="39"/>
      <c r="J102" s="43"/>
      <c r="K102" s="57"/>
      <c r="L102" s="43"/>
      <c r="M102" s="43"/>
    </row>
    <row r="103" spans="1:13">
      <c r="A103" s="10" t="s">
        <v>298</v>
      </c>
      <c r="B103" s="43"/>
      <c r="C103" s="43"/>
      <c r="D103" s="57"/>
      <c r="E103" s="43"/>
      <c r="F103" s="59"/>
      <c r="H103" s="58"/>
      <c r="I103" s="39"/>
      <c r="J103" s="43"/>
      <c r="K103" s="57"/>
      <c r="L103" s="43"/>
      <c r="M103" s="43"/>
    </row>
    <row r="104" spans="1:13">
      <c r="A104" s="10" t="s">
        <v>299</v>
      </c>
      <c r="B104" s="43"/>
      <c r="C104" s="43"/>
      <c r="D104" s="57"/>
      <c r="E104" s="43"/>
      <c r="F104" s="59"/>
      <c r="H104" s="58"/>
      <c r="I104" s="39"/>
      <c r="J104" s="43"/>
      <c r="K104" s="57"/>
      <c r="L104" s="43"/>
      <c r="M104" s="43"/>
    </row>
    <row r="105" spans="1:13">
      <c r="A105" s="10" t="s">
        <v>300</v>
      </c>
      <c r="B105" s="43"/>
      <c r="C105" s="43"/>
      <c r="D105" s="57"/>
      <c r="E105" s="43"/>
      <c r="F105" s="59"/>
      <c r="H105" s="58"/>
      <c r="I105" s="39"/>
      <c r="J105" s="43"/>
      <c r="K105" s="57"/>
      <c r="L105" s="43"/>
      <c r="M105" s="43"/>
    </row>
    <row r="106" spans="1:13">
      <c r="A106" s="13" t="s">
        <v>312</v>
      </c>
      <c r="B106" s="45"/>
      <c r="C106" s="45"/>
      <c r="D106" s="56"/>
      <c r="E106" s="45"/>
      <c r="F106" s="64"/>
      <c r="G106" s="13"/>
      <c r="H106" s="65"/>
      <c r="I106" s="41"/>
      <c r="J106" s="45"/>
      <c r="K106" s="56"/>
      <c r="L106" s="45"/>
      <c r="M106" s="45"/>
    </row>
    <row r="107" spans="1:13">
      <c r="A107" s="20"/>
      <c r="B107" s="71"/>
      <c r="C107" s="71"/>
      <c r="D107" s="72"/>
      <c r="E107" s="71"/>
      <c r="F107" s="73"/>
      <c r="G107" s="20"/>
      <c r="H107" s="74"/>
      <c r="I107" s="75"/>
      <c r="J107" s="71"/>
      <c r="K107" s="72"/>
      <c r="L107" s="71"/>
      <c r="M107" s="71"/>
    </row>
    <row r="108" spans="1:13" ht="26.4">
      <c r="A108" s="21" t="s">
        <v>325</v>
      </c>
      <c r="B108" s="76"/>
      <c r="C108" s="76"/>
      <c r="D108" s="77"/>
      <c r="E108" s="76"/>
      <c r="F108" s="78"/>
      <c r="G108" s="21"/>
      <c r="H108" s="79"/>
      <c r="I108" s="80"/>
      <c r="J108" s="76"/>
      <c r="K108" s="77"/>
      <c r="L108" s="76"/>
      <c r="M108" s="76"/>
    </row>
    <row r="109" spans="1:13">
      <c r="A109" s="10" t="s">
        <v>293</v>
      </c>
      <c r="B109" s="43"/>
      <c r="C109" s="43"/>
      <c r="D109" s="57"/>
      <c r="E109" s="43"/>
      <c r="F109" s="59"/>
      <c r="H109" s="58"/>
      <c r="I109" s="39"/>
      <c r="J109" s="43"/>
      <c r="K109" s="57"/>
      <c r="L109" s="43"/>
      <c r="M109" s="43"/>
    </row>
    <row r="110" spans="1:13">
      <c r="A110" s="10" t="s">
        <v>294</v>
      </c>
      <c r="B110" s="43"/>
      <c r="C110" s="43"/>
      <c r="D110" s="57"/>
      <c r="E110" s="43"/>
      <c r="F110" s="59"/>
      <c r="H110" s="58"/>
      <c r="I110" s="39"/>
      <c r="J110" s="43"/>
      <c r="K110" s="57"/>
      <c r="L110" s="43"/>
      <c r="M110" s="43"/>
    </row>
    <row r="111" spans="1:13">
      <c r="A111" s="10" t="s">
        <v>295</v>
      </c>
      <c r="B111" s="43"/>
      <c r="C111" s="43"/>
      <c r="D111" s="57"/>
      <c r="E111" s="43"/>
      <c r="F111" s="59"/>
      <c r="H111" s="58"/>
      <c r="I111" s="39"/>
      <c r="J111" s="43"/>
      <c r="K111" s="57"/>
      <c r="L111" s="43"/>
      <c r="M111" s="43"/>
    </row>
    <row r="112" spans="1:13">
      <c r="A112" s="10" t="s">
        <v>296</v>
      </c>
      <c r="B112" s="43"/>
      <c r="C112" s="43"/>
      <c r="D112" s="57"/>
      <c r="E112" s="43"/>
      <c r="F112" s="59"/>
      <c r="H112" s="58"/>
      <c r="I112" s="39"/>
      <c r="J112" s="43"/>
      <c r="K112" s="57"/>
      <c r="L112" s="43"/>
      <c r="M112" s="43"/>
    </row>
    <row r="113" spans="1:15">
      <c r="A113" s="10" t="s">
        <v>297</v>
      </c>
      <c r="B113" s="43"/>
      <c r="C113" s="43"/>
      <c r="D113" s="57"/>
      <c r="E113" s="43"/>
      <c r="F113" s="59"/>
      <c r="H113" s="58"/>
      <c r="I113" s="39"/>
      <c r="J113" s="43"/>
      <c r="K113" s="57"/>
      <c r="L113" s="43"/>
      <c r="M113" s="43"/>
    </row>
    <row r="114" spans="1:15">
      <c r="A114" s="10" t="s">
        <v>298</v>
      </c>
      <c r="B114" s="43"/>
      <c r="C114" s="43"/>
      <c r="D114" s="57"/>
      <c r="E114" s="43"/>
      <c r="F114" s="59"/>
      <c r="H114" s="58"/>
      <c r="I114" s="39"/>
      <c r="J114" s="43"/>
      <c r="K114" s="57"/>
      <c r="L114" s="43"/>
      <c r="M114" s="43"/>
    </row>
    <row r="115" spans="1:15">
      <c r="A115" s="10" t="s">
        <v>299</v>
      </c>
      <c r="B115" s="43"/>
      <c r="C115" s="43"/>
      <c r="D115" s="57"/>
      <c r="E115" s="43"/>
      <c r="F115" s="59"/>
      <c r="H115" s="58"/>
      <c r="I115" s="39"/>
      <c r="J115" s="43"/>
      <c r="K115" s="57"/>
      <c r="L115" s="43"/>
      <c r="M115" s="43"/>
    </row>
    <row r="116" spans="1:15">
      <c r="A116" s="10" t="s">
        <v>300</v>
      </c>
      <c r="B116" s="43"/>
      <c r="C116" s="43"/>
      <c r="D116" s="57"/>
      <c r="E116" s="43"/>
      <c r="F116" s="59"/>
      <c r="H116" s="58"/>
      <c r="I116" s="39"/>
      <c r="J116" s="43"/>
      <c r="K116" s="57"/>
      <c r="L116" s="43"/>
      <c r="M116" s="43"/>
    </row>
    <row r="117" spans="1:15">
      <c r="A117" s="13" t="s">
        <v>312</v>
      </c>
      <c r="B117" s="45"/>
      <c r="C117" s="45"/>
      <c r="D117" s="56"/>
      <c r="E117" s="45"/>
      <c r="F117" s="64"/>
      <c r="G117" s="13"/>
      <c r="H117" s="65"/>
      <c r="I117" s="41"/>
      <c r="J117" s="45"/>
      <c r="K117" s="56"/>
      <c r="L117" s="45"/>
      <c r="M117" s="45"/>
    </row>
    <row r="118" spans="1:15">
      <c r="A118" s="20"/>
      <c r="B118" s="71"/>
      <c r="C118" s="71"/>
      <c r="D118" s="72"/>
      <c r="E118" s="71"/>
      <c r="F118" s="73"/>
      <c r="G118" s="20"/>
      <c r="H118" s="74"/>
      <c r="I118" s="75"/>
      <c r="J118" s="71"/>
      <c r="K118" s="72"/>
      <c r="L118" s="71"/>
      <c r="M118" s="71"/>
    </row>
    <row r="119" spans="1:15">
      <c r="A119" s="20"/>
      <c r="B119" s="71"/>
      <c r="C119" s="71"/>
      <c r="D119" s="72"/>
      <c r="E119" s="71"/>
      <c r="F119" s="73"/>
      <c r="G119" s="20"/>
      <c r="H119" s="74"/>
      <c r="I119" s="75"/>
      <c r="J119" s="71"/>
      <c r="K119" s="72"/>
      <c r="L119" s="71"/>
      <c r="M119" s="71"/>
    </row>
    <row r="120" spans="1:15">
      <c r="A120" s="20"/>
      <c r="B120" s="71"/>
      <c r="C120" s="71"/>
      <c r="D120" s="72"/>
      <c r="E120" s="71"/>
      <c r="F120" s="73"/>
      <c r="G120" s="20"/>
      <c r="H120" s="74"/>
      <c r="I120" s="75"/>
      <c r="J120" s="71"/>
      <c r="K120" s="72"/>
      <c r="L120" s="71"/>
      <c r="M120" s="71"/>
      <c r="N120" s="20"/>
      <c r="O120" s="20"/>
    </row>
    <row r="121" spans="1:15">
      <c r="A121" s="20"/>
      <c r="B121" s="71"/>
      <c r="C121" s="71"/>
      <c r="D121" s="72"/>
      <c r="E121" s="71"/>
      <c r="F121" s="73"/>
      <c r="G121" s="20"/>
      <c r="H121" s="74"/>
      <c r="I121" s="75"/>
      <c r="J121" s="71"/>
      <c r="K121" s="72"/>
      <c r="L121" s="71"/>
      <c r="M121" s="71"/>
      <c r="N121" s="20"/>
      <c r="O121" s="20"/>
    </row>
    <row r="122" spans="1:15">
      <c r="A122" s="20"/>
      <c r="B122" s="71"/>
      <c r="C122" s="71"/>
      <c r="D122" s="72"/>
      <c r="E122" s="71"/>
      <c r="F122" s="73"/>
      <c r="G122" s="20"/>
      <c r="H122" s="74"/>
      <c r="I122" s="75"/>
      <c r="J122" s="71"/>
      <c r="K122" s="72"/>
      <c r="L122" s="71"/>
      <c r="M122" s="71"/>
      <c r="N122" s="20"/>
      <c r="O122" s="20"/>
    </row>
    <row r="123" spans="1:15">
      <c r="A123" s="20"/>
      <c r="B123" s="71"/>
      <c r="C123" s="71"/>
      <c r="D123" s="72"/>
      <c r="E123" s="71"/>
      <c r="F123" s="73"/>
      <c r="G123" s="20"/>
      <c r="H123" s="74"/>
      <c r="I123" s="75"/>
      <c r="J123" s="71"/>
      <c r="K123" s="72"/>
      <c r="L123" s="71"/>
      <c r="M123" s="71"/>
      <c r="N123" s="20"/>
      <c r="O123" s="20"/>
    </row>
    <row r="124" spans="1:15">
      <c r="A124" s="20"/>
      <c r="B124" s="71"/>
      <c r="C124" s="71"/>
      <c r="D124" s="72"/>
      <c r="E124" s="71"/>
      <c r="F124" s="73"/>
      <c r="G124" s="20"/>
      <c r="H124" s="74"/>
      <c r="I124" s="75"/>
      <c r="J124" s="71"/>
      <c r="K124" s="72"/>
      <c r="L124" s="71"/>
      <c r="M124" s="71"/>
      <c r="N124" s="20"/>
      <c r="O124" s="20"/>
    </row>
    <row r="125" spans="1:15">
      <c r="A125" s="20"/>
      <c r="B125" s="71"/>
      <c r="C125" s="71"/>
      <c r="D125" s="72"/>
      <c r="E125" s="71"/>
      <c r="F125" s="73"/>
      <c r="G125" s="20"/>
      <c r="H125" s="74"/>
      <c r="I125" s="75"/>
      <c r="J125" s="71"/>
      <c r="K125" s="72"/>
      <c r="L125" s="71"/>
      <c r="M125" s="71"/>
      <c r="N125" s="20"/>
      <c r="O125" s="20"/>
    </row>
    <row r="126" spans="1:15">
      <c r="A126" s="20"/>
      <c r="B126" s="71"/>
      <c r="C126" s="71"/>
      <c r="D126" s="72"/>
      <c r="E126" s="71"/>
      <c r="F126" s="73"/>
      <c r="G126" s="20"/>
      <c r="H126" s="74"/>
      <c r="I126" s="75"/>
      <c r="J126" s="71"/>
      <c r="K126" s="72"/>
      <c r="L126" s="71"/>
      <c r="M126" s="71"/>
      <c r="N126" s="20"/>
      <c r="O126" s="20"/>
    </row>
    <row r="127" spans="1:15">
      <c r="A127" s="20"/>
      <c r="B127" s="71"/>
      <c r="C127" s="71"/>
      <c r="D127" s="72"/>
      <c r="E127" s="71"/>
      <c r="F127" s="73"/>
      <c r="G127" s="20"/>
      <c r="H127" s="74"/>
      <c r="I127" s="75"/>
      <c r="J127" s="71"/>
      <c r="K127" s="72"/>
      <c r="L127" s="71"/>
      <c r="M127" s="71"/>
      <c r="N127" s="20"/>
      <c r="O127" s="20"/>
    </row>
    <row r="128" spans="1:15">
      <c r="A128" s="20"/>
      <c r="B128" s="71"/>
      <c r="C128" s="71"/>
      <c r="D128" s="72"/>
      <c r="E128" s="71"/>
      <c r="F128" s="73"/>
      <c r="G128" s="20"/>
      <c r="H128" s="74"/>
      <c r="I128" s="75"/>
      <c r="J128" s="71"/>
      <c r="K128" s="72"/>
      <c r="L128" s="71"/>
      <c r="M128" s="71"/>
      <c r="N128" s="20"/>
      <c r="O128" s="20"/>
    </row>
    <row r="129" spans="1:15">
      <c r="A129" s="20"/>
      <c r="B129" s="71"/>
      <c r="C129" s="71"/>
      <c r="D129" s="72"/>
      <c r="E129" s="71"/>
      <c r="F129" s="73"/>
      <c r="G129" s="20"/>
      <c r="H129" s="74"/>
      <c r="I129" s="75"/>
      <c r="J129" s="71"/>
      <c r="K129" s="72"/>
      <c r="L129" s="71"/>
      <c r="M129" s="71"/>
      <c r="N129" s="20"/>
      <c r="O129" s="20"/>
    </row>
    <row r="130" spans="1:15">
      <c r="A130" s="20"/>
      <c r="B130" s="71"/>
      <c r="C130" s="71"/>
      <c r="D130" s="72"/>
      <c r="E130" s="71"/>
      <c r="F130" s="73"/>
      <c r="G130" s="20"/>
      <c r="H130" s="74"/>
      <c r="I130" s="75"/>
      <c r="J130" s="71"/>
      <c r="K130" s="72"/>
      <c r="L130" s="71"/>
      <c r="M130" s="71"/>
      <c r="N130" s="20"/>
      <c r="O130" s="20"/>
    </row>
    <row r="131" spans="1:15">
      <c r="A131" s="20"/>
      <c r="B131" s="71"/>
      <c r="C131" s="71"/>
      <c r="D131" s="72"/>
      <c r="E131" s="71"/>
      <c r="F131" s="73"/>
      <c r="G131" s="20"/>
      <c r="H131" s="74"/>
      <c r="I131" s="75"/>
      <c r="J131" s="71"/>
      <c r="K131" s="72"/>
      <c r="L131" s="71"/>
      <c r="M131" s="71"/>
      <c r="N131" s="20"/>
      <c r="O131" s="20"/>
    </row>
    <row r="132" spans="1:15">
      <c r="A132" s="20"/>
      <c r="B132" s="71"/>
      <c r="C132" s="71"/>
      <c r="D132" s="72"/>
      <c r="E132" s="71"/>
      <c r="F132" s="73"/>
      <c r="G132" s="20"/>
      <c r="H132" s="74"/>
      <c r="I132" s="75"/>
      <c r="J132" s="71"/>
      <c r="K132" s="72"/>
      <c r="L132" s="71"/>
      <c r="M132" s="71"/>
      <c r="N132" s="20"/>
      <c r="O132" s="20"/>
    </row>
    <row r="133" spans="1:15">
      <c r="A133" s="20"/>
      <c r="B133" s="71"/>
      <c r="C133" s="71"/>
      <c r="D133" s="72"/>
      <c r="E133" s="71"/>
      <c r="F133" s="73"/>
      <c r="G133" s="20"/>
      <c r="H133" s="74"/>
      <c r="I133" s="75"/>
      <c r="J133" s="71"/>
      <c r="K133" s="72"/>
      <c r="L133" s="71"/>
      <c r="M133" s="71"/>
      <c r="N133" s="20"/>
      <c r="O133" s="20"/>
    </row>
    <row r="134" spans="1:15">
      <c r="A134" s="20"/>
      <c r="B134" s="71"/>
      <c r="C134" s="71"/>
      <c r="D134" s="72"/>
      <c r="E134" s="71"/>
      <c r="F134" s="73"/>
      <c r="G134" s="20"/>
      <c r="H134" s="74"/>
      <c r="I134" s="75"/>
      <c r="J134" s="71"/>
      <c r="K134" s="72"/>
      <c r="L134" s="71"/>
      <c r="M134" s="71"/>
      <c r="N134" s="20"/>
      <c r="O134" s="20"/>
    </row>
    <row r="135" spans="1:15">
      <c r="A135" s="20"/>
      <c r="B135" s="71"/>
      <c r="C135" s="71"/>
      <c r="D135" s="72"/>
      <c r="E135" s="71"/>
      <c r="F135" s="73"/>
      <c r="G135" s="20"/>
      <c r="H135" s="74"/>
      <c r="I135" s="75"/>
      <c r="J135" s="71"/>
      <c r="K135" s="72"/>
      <c r="L135" s="71"/>
      <c r="M135" s="71"/>
      <c r="N135" s="20"/>
      <c r="O135" s="20"/>
    </row>
    <row r="136" spans="1:15">
      <c r="A136" s="20"/>
      <c r="B136" s="71"/>
      <c r="C136" s="71"/>
      <c r="D136" s="72"/>
      <c r="E136" s="71"/>
      <c r="F136" s="73"/>
      <c r="G136" s="20"/>
      <c r="H136" s="74"/>
      <c r="I136" s="75"/>
      <c r="J136" s="71"/>
      <c r="K136" s="72"/>
      <c r="L136" s="71"/>
      <c r="M136" s="71"/>
      <c r="N136" s="20"/>
      <c r="O136" s="20"/>
    </row>
    <row r="137" spans="1:15">
      <c r="A137" s="20"/>
      <c r="B137" s="71"/>
      <c r="C137" s="71"/>
      <c r="D137" s="72"/>
      <c r="E137" s="71"/>
      <c r="F137" s="73"/>
      <c r="G137" s="20"/>
      <c r="H137" s="74"/>
      <c r="I137" s="75"/>
      <c r="J137" s="71"/>
      <c r="K137" s="72"/>
      <c r="L137" s="71"/>
      <c r="M137" s="71"/>
    </row>
    <row r="138" spans="1:15">
      <c r="A138" s="20"/>
      <c r="B138" s="71"/>
      <c r="C138" s="71"/>
      <c r="D138" s="72"/>
      <c r="E138" s="71"/>
      <c r="F138" s="73"/>
      <c r="G138" s="20"/>
      <c r="H138" s="74"/>
      <c r="I138" s="75"/>
      <c r="J138" s="71"/>
      <c r="K138" s="72"/>
      <c r="L138" s="71"/>
      <c r="M138" s="71"/>
    </row>
    <row r="139" spans="1:15">
      <c r="A139" s="20"/>
      <c r="B139" s="71"/>
      <c r="C139" s="71"/>
      <c r="D139" s="72"/>
      <c r="E139" s="71"/>
      <c r="F139" s="73"/>
      <c r="G139" s="20"/>
      <c r="H139" s="74"/>
      <c r="I139" s="75"/>
      <c r="J139" s="71"/>
      <c r="K139" s="72"/>
      <c r="L139" s="71"/>
      <c r="M139" s="71"/>
    </row>
    <row r="140" spans="1:15">
      <c r="A140" s="20"/>
      <c r="B140" s="71"/>
      <c r="C140" s="71"/>
      <c r="D140" s="72"/>
      <c r="E140" s="71"/>
      <c r="F140" s="73"/>
      <c r="G140" s="20"/>
      <c r="H140" s="74"/>
      <c r="I140" s="75"/>
      <c r="J140" s="71"/>
      <c r="K140" s="72"/>
      <c r="L140" s="71"/>
      <c r="M140" s="71"/>
    </row>
    <row r="141" spans="1:15">
      <c r="A141" s="20"/>
      <c r="B141" s="71"/>
      <c r="C141" s="71"/>
      <c r="D141" s="72"/>
      <c r="E141" s="71"/>
      <c r="F141" s="73"/>
      <c r="G141" s="20"/>
      <c r="H141" s="74"/>
      <c r="I141" s="75"/>
      <c r="J141" s="71"/>
      <c r="K141" s="72"/>
      <c r="L141" s="71"/>
      <c r="M141" s="71"/>
    </row>
    <row r="142" spans="1:15">
      <c r="A142" s="20"/>
      <c r="B142" s="71"/>
      <c r="C142" s="71"/>
      <c r="D142" s="72"/>
      <c r="E142" s="71"/>
      <c r="F142" s="73"/>
      <c r="G142" s="20"/>
      <c r="H142" s="74"/>
      <c r="I142" s="75"/>
      <c r="J142" s="71"/>
      <c r="K142" s="72"/>
      <c r="L142" s="71"/>
      <c r="M142" s="71"/>
    </row>
    <row r="143" spans="1:15">
      <c r="A143" s="20"/>
      <c r="B143" s="71"/>
      <c r="C143" s="71"/>
      <c r="D143" s="72"/>
      <c r="E143" s="71"/>
      <c r="F143" s="73"/>
      <c r="G143" s="20"/>
      <c r="H143" s="74"/>
      <c r="I143" s="75"/>
      <c r="J143" s="71"/>
      <c r="K143" s="72"/>
      <c r="L143" s="71"/>
      <c r="M143" s="71"/>
    </row>
    <row r="144" spans="1:15">
      <c r="A144" s="20"/>
      <c r="B144" s="71"/>
      <c r="C144" s="71"/>
      <c r="D144" s="72"/>
      <c r="E144" s="71"/>
      <c r="F144" s="73"/>
      <c r="G144" s="20"/>
      <c r="H144" s="74"/>
      <c r="I144" s="75"/>
      <c r="J144" s="71"/>
      <c r="K144" s="72"/>
      <c r="L144" s="71"/>
      <c r="M144" s="71"/>
    </row>
    <row r="145" spans="1:13">
      <c r="A145" s="20"/>
      <c r="B145" s="71"/>
      <c r="C145" s="71"/>
      <c r="D145" s="72"/>
      <c r="E145" s="71"/>
      <c r="F145" s="73"/>
      <c r="G145" s="20"/>
      <c r="H145" s="74"/>
      <c r="I145" s="75"/>
      <c r="J145" s="71"/>
      <c r="K145" s="72"/>
      <c r="L145" s="71"/>
      <c r="M145" s="71"/>
    </row>
    <row r="146" spans="1:13">
      <c r="A146" s="20"/>
      <c r="B146" s="71"/>
      <c r="C146" s="71"/>
      <c r="D146" s="72"/>
      <c r="E146" s="71"/>
      <c r="F146" s="73"/>
      <c r="G146" s="20"/>
      <c r="H146" s="74"/>
      <c r="I146" s="75"/>
      <c r="J146" s="71"/>
      <c r="K146" s="72"/>
      <c r="L146" s="71"/>
      <c r="M146" s="71"/>
    </row>
    <row r="147" spans="1:13">
      <c r="A147" s="20"/>
      <c r="B147" s="71"/>
      <c r="C147" s="71"/>
      <c r="D147" s="72"/>
      <c r="E147" s="71"/>
      <c r="F147" s="73"/>
      <c r="G147" s="20"/>
      <c r="H147" s="74"/>
      <c r="I147" s="75"/>
      <c r="J147" s="71"/>
      <c r="K147" s="72"/>
      <c r="L147" s="71"/>
      <c r="M147" s="71"/>
    </row>
    <row r="148" spans="1:13">
      <c r="A148" s="20"/>
      <c r="B148" s="71"/>
      <c r="C148" s="71"/>
      <c r="D148" s="72"/>
      <c r="E148" s="71"/>
      <c r="F148" s="73"/>
      <c r="G148" s="20"/>
      <c r="H148" s="74"/>
      <c r="I148" s="75"/>
      <c r="J148" s="71"/>
      <c r="K148" s="72"/>
      <c r="L148" s="71"/>
      <c r="M148" s="71"/>
    </row>
    <row r="149" spans="1:13">
      <c r="A149" s="20"/>
      <c r="B149" s="71"/>
      <c r="C149" s="71"/>
      <c r="D149" s="72"/>
      <c r="E149" s="71"/>
      <c r="F149" s="73"/>
      <c r="G149" s="20"/>
      <c r="H149" s="74"/>
      <c r="I149" s="75"/>
      <c r="J149" s="71"/>
      <c r="K149" s="72"/>
      <c r="L149" s="71"/>
      <c r="M149" s="71"/>
    </row>
    <row r="150" spans="1:13">
      <c r="A150" s="20"/>
      <c r="B150" s="71"/>
      <c r="C150" s="71"/>
      <c r="D150" s="72"/>
      <c r="E150" s="71"/>
      <c r="F150" s="73"/>
      <c r="G150" s="20"/>
      <c r="H150" s="74"/>
      <c r="I150" s="75"/>
      <c r="J150" s="71"/>
      <c r="K150" s="72"/>
      <c r="L150" s="71"/>
      <c r="M150" s="71"/>
    </row>
    <row r="151" spans="1:13">
      <c r="A151" s="20"/>
      <c r="B151" s="71"/>
      <c r="C151" s="71"/>
      <c r="D151" s="72"/>
      <c r="E151" s="71"/>
      <c r="F151" s="73"/>
      <c r="G151" s="20"/>
      <c r="H151" s="74"/>
      <c r="I151" s="75"/>
      <c r="J151" s="71"/>
      <c r="K151" s="72"/>
      <c r="L151" s="71"/>
      <c r="M151" s="71"/>
    </row>
    <row r="152" spans="1:13">
      <c r="A152" s="20"/>
      <c r="B152" s="71"/>
      <c r="C152" s="71"/>
      <c r="D152" s="72"/>
      <c r="E152" s="71"/>
      <c r="F152" s="73"/>
      <c r="G152" s="20"/>
      <c r="H152" s="74"/>
      <c r="I152" s="75"/>
      <c r="J152" s="71"/>
      <c r="K152" s="72"/>
      <c r="L152" s="71"/>
      <c r="M152" s="71"/>
    </row>
    <row r="153" spans="1:13">
      <c r="A153" s="20"/>
      <c r="B153" s="71"/>
      <c r="C153" s="71"/>
      <c r="D153" s="72"/>
      <c r="E153" s="71"/>
      <c r="F153" s="73"/>
      <c r="G153" s="20"/>
      <c r="H153" s="74"/>
      <c r="I153" s="75"/>
      <c r="J153" s="71"/>
      <c r="K153" s="72"/>
      <c r="L153" s="71"/>
      <c r="M153" s="71"/>
    </row>
    <row r="154" spans="1:13">
      <c r="A154" s="20"/>
      <c r="B154" s="71"/>
      <c r="C154" s="71"/>
      <c r="D154" s="72"/>
      <c r="E154" s="71"/>
      <c r="F154" s="73"/>
      <c r="G154" s="20"/>
      <c r="H154" s="74"/>
      <c r="I154" s="75"/>
      <c r="J154" s="71"/>
      <c r="K154" s="72"/>
      <c r="L154" s="71"/>
      <c r="M154" s="71"/>
    </row>
    <row r="155" spans="1:13">
      <c r="A155" s="20"/>
      <c r="B155" s="71"/>
      <c r="C155" s="71"/>
      <c r="D155" s="72"/>
      <c r="E155" s="71"/>
      <c r="F155" s="73"/>
      <c r="G155" s="20"/>
      <c r="H155" s="74"/>
      <c r="I155" s="75"/>
      <c r="J155" s="71"/>
      <c r="K155" s="72"/>
      <c r="L155" s="71"/>
      <c r="M155" s="71"/>
    </row>
    <row r="156" spans="1:13">
      <c r="A156" s="20"/>
      <c r="B156" s="71"/>
      <c r="C156" s="71"/>
      <c r="D156" s="72"/>
      <c r="E156" s="71"/>
      <c r="F156" s="73"/>
      <c r="G156" s="20"/>
      <c r="H156" s="74"/>
      <c r="I156" s="75"/>
      <c r="J156" s="71"/>
      <c r="K156" s="72"/>
      <c r="L156" s="71"/>
      <c r="M156" s="71"/>
    </row>
    <row r="157" spans="1:13">
      <c r="A157" s="20"/>
      <c r="B157" s="71"/>
      <c r="C157" s="71"/>
      <c r="D157" s="72"/>
      <c r="E157" s="71"/>
      <c r="F157" s="73"/>
      <c r="G157" s="20"/>
      <c r="H157" s="74"/>
      <c r="I157" s="75"/>
      <c r="J157" s="71"/>
      <c r="K157" s="72"/>
      <c r="L157" s="71"/>
      <c r="M157" s="71"/>
    </row>
    <row r="158" spans="1:13">
      <c r="A158" s="20"/>
      <c r="B158" s="71"/>
      <c r="C158" s="71"/>
      <c r="D158" s="72"/>
      <c r="E158" s="71"/>
      <c r="F158" s="73"/>
      <c r="G158" s="20"/>
      <c r="H158" s="74"/>
      <c r="I158" s="75"/>
      <c r="J158" s="71"/>
      <c r="K158" s="72"/>
      <c r="L158" s="71"/>
      <c r="M158" s="71"/>
    </row>
    <row r="159" spans="1:13">
      <c r="A159" s="20"/>
      <c r="B159" s="71"/>
      <c r="C159" s="71"/>
      <c r="D159" s="72"/>
      <c r="E159" s="71"/>
      <c r="F159" s="73"/>
      <c r="G159" s="20"/>
      <c r="H159" s="74"/>
      <c r="I159" s="75"/>
      <c r="J159" s="71"/>
      <c r="K159" s="72"/>
      <c r="L159" s="71"/>
      <c r="M159" s="71"/>
    </row>
    <row r="160" spans="1:13">
      <c r="A160" s="20"/>
      <c r="B160" s="71"/>
      <c r="C160" s="71"/>
      <c r="D160" s="72"/>
      <c r="E160" s="71"/>
      <c r="F160" s="73"/>
      <c r="G160" s="20"/>
      <c r="H160" s="74"/>
      <c r="I160" s="75"/>
      <c r="J160" s="71"/>
      <c r="K160" s="72"/>
      <c r="L160" s="71"/>
      <c r="M160" s="71"/>
    </row>
    <row r="161" spans="1:13">
      <c r="A161" s="20"/>
      <c r="B161" s="71"/>
      <c r="C161" s="71"/>
      <c r="D161" s="72"/>
      <c r="E161" s="71"/>
      <c r="F161" s="73"/>
      <c r="G161" s="20"/>
      <c r="H161" s="74"/>
      <c r="I161" s="75"/>
      <c r="J161" s="71"/>
      <c r="K161" s="72"/>
      <c r="L161" s="71"/>
      <c r="M161" s="71"/>
    </row>
    <row r="162" spans="1:13">
      <c r="A162" s="20"/>
      <c r="B162" s="71"/>
      <c r="C162" s="71"/>
      <c r="D162" s="72"/>
      <c r="E162" s="71"/>
      <c r="F162" s="73"/>
      <c r="G162" s="20"/>
      <c r="H162" s="74"/>
      <c r="I162" s="75"/>
      <c r="J162" s="71"/>
      <c r="K162" s="72"/>
      <c r="L162" s="71"/>
      <c r="M162" s="71"/>
    </row>
    <row r="163" spans="1:13">
      <c r="A163" s="20"/>
      <c r="B163" s="71"/>
      <c r="C163" s="71"/>
      <c r="D163" s="72"/>
      <c r="E163" s="71"/>
      <c r="F163" s="73"/>
      <c r="G163" s="20"/>
      <c r="H163" s="74"/>
      <c r="I163" s="75"/>
      <c r="J163" s="71"/>
      <c r="K163" s="72"/>
      <c r="L163" s="71"/>
      <c r="M163" s="71"/>
    </row>
    <row r="164" spans="1:13">
      <c r="A164" s="20"/>
      <c r="B164" s="71"/>
      <c r="C164" s="71"/>
      <c r="D164" s="72"/>
      <c r="E164" s="71"/>
      <c r="F164" s="73"/>
      <c r="G164" s="20"/>
      <c r="H164" s="74"/>
      <c r="I164" s="75"/>
      <c r="J164" s="71"/>
      <c r="K164" s="72"/>
      <c r="L164" s="71"/>
      <c r="M164" s="71"/>
    </row>
    <row r="165" spans="1:13">
      <c r="A165" s="21"/>
      <c r="B165" s="76"/>
      <c r="C165" s="76"/>
      <c r="D165" s="77"/>
      <c r="E165" s="76"/>
      <c r="F165" s="78"/>
      <c r="G165" s="21"/>
      <c r="H165" s="79"/>
      <c r="I165" s="80"/>
      <c r="J165" s="76"/>
      <c r="K165" s="77"/>
      <c r="L165" s="76"/>
      <c r="M165" s="76"/>
    </row>
    <row r="166" spans="1:13">
      <c r="A166" s="20"/>
      <c r="B166" s="71"/>
      <c r="C166" s="71"/>
      <c r="D166" s="72"/>
      <c r="E166" s="71"/>
      <c r="F166" s="73"/>
      <c r="G166" s="20"/>
      <c r="H166" s="74"/>
      <c r="I166" s="75"/>
      <c r="J166" s="71"/>
      <c r="K166" s="72"/>
      <c r="L166" s="71"/>
      <c r="M166" s="71"/>
    </row>
    <row r="167" spans="1:13">
      <c r="A167" s="20"/>
      <c r="B167" s="71"/>
      <c r="C167" s="71"/>
      <c r="D167" s="72"/>
      <c r="E167" s="71"/>
      <c r="F167" s="73"/>
      <c r="G167" s="20"/>
      <c r="H167" s="74"/>
      <c r="I167" s="75"/>
      <c r="J167" s="71"/>
      <c r="K167" s="72"/>
      <c r="L167" s="71"/>
      <c r="M167" s="71"/>
    </row>
    <row r="168" spans="1:13">
      <c r="A168" s="20"/>
      <c r="B168" s="71"/>
      <c r="C168" s="71"/>
      <c r="D168" s="72"/>
      <c r="E168" s="71"/>
      <c r="F168" s="73"/>
      <c r="G168" s="20"/>
      <c r="H168" s="74"/>
      <c r="I168" s="75"/>
      <c r="J168" s="71"/>
      <c r="K168" s="72"/>
      <c r="L168" s="71"/>
      <c r="M168" s="71"/>
    </row>
    <row r="169" spans="1:13">
      <c r="A169" s="20"/>
      <c r="B169" s="71"/>
      <c r="C169" s="71"/>
      <c r="D169" s="72"/>
      <c r="E169" s="71"/>
      <c r="F169" s="73"/>
      <c r="G169" s="20"/>
      <c r="H169" s="74"/>
      <c r="I169" s="75"/>
      <c r="J169" s="71"/>
      <c r="K169" s="72"/>
      <c r="L169" s="71"/>
      <c r="M169" s="71"/>
    </row>
    <row r="170" spans="1:13">
      <c r="A170" s="20"/>
      <c r="B170" s="71"/>
      <c r="C170" s="71"/>
      <c r="D170" s="72"/>
      <c r="E170" s="71"/>
      <c r="F170" s="73"/>
      <c r="G170" s="20"/>
      <c r="H170" s="74"/>
      <c r="I170" s="75"/>
      <c r="J170" s="71"/>
      <c r="K170" s="72"/>
      <c r="L170" s="71"/>
      <c r="M170" s="71"/>
    </row>
    <row r="171" spans="1:13">
      <c r="A171" s="20"/>
      <c r="B171" s="71"/>
      <c r="C171" s="71"/>
      <c r="D171" s="72"/>
      <c r="E171" s="71"/>
      <c r="F171" s="73"/>
      <c r="G171" s="20"/>
      <c r="H171" s="74"/>
      <c r="I171" s="75"/>
      <c r="J171" s="71"/>
      <c r="K171" s="72"/>
      <c r="L171" s="71"/>
      <c r="M171" s="71"/>
    </row>
    <row r="172" spans="1:13">
      <c r="A172" s="20"/>
      <c r="B172" s="71"/>
      <c r="C172" s="71"/>
      <c r="D172" s="72"/>
      <c r="E172" s="71"/>
      <c r="F172" s="73"/>
      <c r="G172" s="20"/>
      <c r="H172" s="74"/>
      <c r="I172" s="75"/>
      <c r="J172" s="71"/>
      <c r="K172" s="72"/>
      <c r="L172" s="71"/>
      <c r="M172" s="71"/>
    </row>
    <row r="173" spans="1:13">
      <c r="A173" s="20"/>
      <c r="B173" s="71"/>
      <c r="C173" s="71"/>
      <c r="D173" s="72"/>
      <c r="E173" s="71"/>
      <c r="F173" s="73"/>
      <c r="G173" s="20"/>
      <c r="H173" s="74"/>
      <c r="I173" s="75"/>
      <c r="J173" s="71"/>
      <c r="K173" s="72"/>
      <c r="L173" s="71"/>
      <c r="M173" s="71"/>
    </row>
    <row r="174" spans="1:13">
      <c r="A174" s="20"/>
      <c r="B174" s="71"/>
      <c r="C174" s="71"/>
      <c r="D174" s="72"/>
      <c r="E174" s="71"/>
      <c r="F174" s="73"/>
      <c r="G174" s="20"/>
      <c r="H174" s="74"/>
      <c r="I174" s="75"/>
      <c r="J174" s="71"/>
      <c r="K174" s="72"/>
      <c r="L174" s="71"/>
      <c r="M174" s="71"/>
    </row>
    <row r="175" spans="1:13">
      <c r="A175" s="20"/>
      <c r="B175" s="71"/>
      <c r="C175" s="71"/>
      <c r="D175" s="72"/>
      <c r="E175" s="71"/>
      <c r="F175" s="73"/>
      <c r="G175" s="20"/>
      <c r="H175" s="74"/>
      <c r="I175" s="75"/>
      <c r="J175" s="71"/>
      <c r="K175" s="72"/>
      <c r="L175" s="71"/>
      <c r="M175" s="71"/>
    </row>
    <row r="176" spans="1:13">
      <c r="A176" s="20"/>
      <c r="B176" s="71"/>
      <c r="C176" s="71"/>
      <c r="D176" s="72"/>
      <c r="E176" s="71"/>
      <c r="F176" s="73"/>
      <c r="G176" s="20"/>
      <c r="H176" s="74"/>
      <c r="I176" s="75"/>
      <c r="J176" s="71"/>
      <c r="K176" s="72"/>
      <c r="L176" s="71"/>
      <c r="M176" s="71"/>
    </row>
    <row r="177" spans="1:13">
      <c r="A177" s="20"/>
      <c r="B177" s="71"/>
      <c r="C177" s="71"/>
      <c r="D177" s="72"/>
      <c r="E177" s="71"/>
      <c r="F177" s="73"/>
      <c r="G177" s="20"/>
      <c r="H177" s="74"/>
      <c r="I177" s="75"/>
      <c r="J177" s="71"/>
      <c r="K177" s="72"/>
      <c r="L177" s="71"/>
      <c r="M177" s="71"/>
    </row>
    <row r="178" spans="1:13">
      <c r="A178" s="20"/>
      <c r="B178" s="71"/>
      <c r="C178" s="71"/>
      <c r="D178" s="72"/>
      <c r="E178" s="71"/>
      <c r="F178" s="73"/>
      <c r="G178" s="20"/>
      <c r="H178" s="74"/>
      <c r="I178" s="75"/>
      <c r="J178" s="71"/>
      <c r="K178" s="72"/>
      <c r="L178" s="71"/>
      <c r="M178" s="71"/>
    </row>
    <row r="179" spans="1:13">
      <c r="A179" s="20"/>
      <c r="B179" s="71"/>
      <c r="C179" s="71"/>
      <c r="D179" s="72"/>
      <c r="E179" s="71"/>
      <c r="F179" s="73"/>
      <c r="G179" s="20"/>
      <c r="H179" s="74"/>
      <c r="I179" s="75"/>
      <c r="J179" s="71"/>
      <c r="K179" s="72"/>
      <c r="L179" s="71"/>
      <c r="M179" s="71"/>
    </row>
    <row r="180" spans="1:13">
      <c r="A180" s="20"/>
      <c r="B180" s="71"/>
      <c r="C180" s="71"/>
      <c r="D180" s="72"/>
      <c r="E180" s="71"/>
      <c r="F180" s="73"/>
      <c r="G180" s="20"/>
      <c r="H180" s="74"/>
      <c r="I180" s="75"/>
      <c r="J180" s="71"/>
      <c r="K180" s="72"/>
      <c r="L180" s="71"/>
      <c r="M180" s="71"/>
    </row>
    <row r="181" spans="1:13">
      <c r="A181" s="20"/>
      <c r="B181" s="71"/>
      <c r="C181" s="71"/>
      <c r="D181" s="72"/>
      <c r="E181" s="71"/>
      <c r="F181" s="73"/>
      <c r="G181" s="20"/>
      <c r="H181" s="74"/>
      <c r="I181" s="75"/>
      <c r="J181" s="71"/>
      <c r="K181" s="72"/>
      <c r="L181" s="71"/>
      <c r="M181" s="71"/>
    </row>
    <row r="182" spans="1:13">
      <c r="A182" s="20"/>
      <c r="B182" s="71"/>
      <c r="C182" s="71"/>
      <c r="D182" s="72"/>
      <c r="E182" s="71"/>
      <c r="F182" s="73"/>
      <c r="G182" s="20"/>
      <c r="H182" s="74"/>
      <c r="I182" s="75"/>
      <c r="J182" s="71"/>
      <c r="K182" s="72"/>
      <c r="L182" s="71"/>
      <c r="M182" s="71"/>
    </row>
    <row r="183" spans="1:13">
      <c r="A183" s="20"/>
      <c r="B183" s="71"/>
      <c r="C183" s="71"/>
      <c r="D183" s="72"/>
      <c r="E183" s="71"/>
      <c r="F183" s="73"/>
      <c r="G183" s="20"/>
      <c r="H183" s="74"/>
      <c r="I183" s="75"/>
      <c r="J183" s="71"/>
      <c r="K183" s="72"/>
      <c r="L183" s="71"/>
      <c r="M183" s="71"/>
    </row>
    <row r="184" spans="1:13">
      <c r="A184" s="20"/>
      <c r="B184" s="71"/>
      <c r="C184" s="71"/>
      <c r="D184" s="72"/>
      <c r="E184" s="71"/>
      <c r="F184" s="73"/>
      <c r="G184" s="20"/>
      <c r="H184" s="74"/>
      <c r="I184" s="75"/>
      <c r="J184" s="71"/>
      <c r="K184" s="72"/>
      <c r="L184" s="71"/>
      <c r="M184" s="71"/>
    </row>
    <row r="185" spans="1:13">
      <c r="A185" s="20"/>
      <c r="B185" s="71"/>
      <c r="C185" s="71"/>
      <c r="D185" s="72"/>
      <c r="E185" s="71"/>
      <c r="F185" s="73"/>
      <c r="G185" s="20"/>
      <c r="H185" s="74"/>
      <c r="I185" s="75"/>
      <c r="J185" s="71"/>
      <c r="K185" s="72"/>
      <c r="L185" s="71"/>
      <c r="M185" s="71"/>
    </row>
    <row r="186" spans="1:13">
      <c r="A186" s="20"/>
      <c r="B186" s="71"/>
      <c r="C186" s="71"/>
      <c r="D186" s="72"/>
      <c r="E186" s="71"/>
      <c r="F186" s="73"/>
      <c r="G186" s="20"/>
      <c r="H186" s="74"/>
      <c r="I186" s="75"/>
      <c r="J186" s="71"/>
      <c r="K186" s="72"/>
      <c r="L186" s="71"/>
      <c r="M186" s="71"/>
    </row>
    <row r="187" spans="1:13">
      <c r="A187" s="20"/>
      <c r="B187" s="71"/>
      <c r="C187" s="71"/>
      <c r="D187" s="72"/>
      <c r="E187" s="71"/>
      <c r="F187" s="73"/>
      <c r="G187" s="20"/>
      <c r="H187" s="74"/>
      <c r="I187" s="75"/>
      <c r="J187" s="71"/>
      <c r="K187" s="72"/>
      <c r="L187" s="71"/>
      <c r="M187" s="71"/>
    </row>
    <row r="188" spans="1:13">
      <c r="A188" s="20"/>
      <c r="B188" s="71"/>
      <c r="C188" s="71"/>
      <c r="D188" s="72"/>
      <c r="E188" s="71"/>
      <c r="F188" s="73"/>
      <c r="G188" s="20"/>
      <c r="H188" s="74"/>
      <c r="I188" s="75"/>
      <c r="J188" s="71"/>
      <c r="K188" s="72"/>
      <c r="L188" s="71"/>
      <c r="M188" s="71"/>
    </row>
    <row r="189" spans="1:13">
      <c r="A189" s="20"/>
      <c r="B189" s="71"/>
      <c r="C189" s="71"/>
      <c r="D189" s="72"/>
      <c r="E189" s="71"/>
      <c r="F189" s="73"/>
      <c r="G189" s="20"/>
      <c r="H189" s="74"/>
      <c r="I189" s="75"/>
      <c r="J189" s="71"/>
      <c r="K189" s="72"/>
      <c r="L189" s="71"/>
      <c r="M189" s="71"/>
    </row>
    <row r="190" spans="1:13">
      <c r="A190" s="20"/>
      <c r="B190" s="71"/>
      <c r="C190" s="71"/>
      <c r="D190" s="72"/>
      <c r="E190" s="71"/>
      <c r="F190" s="73"/>
      <c r="G190" s="20"/>
      <c r="H190" s="74"/>
      <c r="I190" s="75"/>
      <c r="J190" s="71"/>
      <c r="K190" s="72"/>
      <c r="L190" s="71"/>
      <c r="M190" s="71"/>
    </row>
    <row r="191" spans="1:13">
      <c r="A191" s="20"/>
      <c r="B191" s="71"/>
      <c r="C191" s="71"/>
      <c r="D191" s="72"/>
      <c r="E191" s="71"/>
      <c r="F191" s="73"/>
      <c r="G191" s="20"/>
      <c r="H191" s="74"/>
      <c r="I191" s="75"/>
      <c r="J191" s="71"/>
      <c r="K191" s="72"/>
      <c r="L191" s="71"/>
      <c r="M191" s="71"/>
    </row>
    <row r="192" spans="1:13">
      <c r="A192" s="20"/>
      <c r="B192" s="71"/>
      <c r="C192" s="71"/>
      <c r="D192" s="72"/>
      <c r="E192" s="71"/>
      <c r="F192" s="73"/>
      <c r="G192" s="20"/>
      <c r="H192" s="74"/>
      <c r="I192" s="75"/>
      <c r="J192" s="71"/>
      <c r="K192" s="72"/>
      <c r="L192" s="71"/>
      <c r="M192" s="71"/>
    </row>
    <row r="193" spans="1:13">
      <c r="A193" s="20"/>
      <c r="B193" s="71"/>
      <c r="C193" s="71"/>
      <c r="D193" s="72"/>
      <c r="E193" s="71"/>
      <c r="F193" s="73"/>
      <c r="G193" s="20"/>
      <c r="H193" s="74"/>
      <c r="I193" s="75"/>
      <c r="J193" s="71"/>
      <c r="K193" s="72"/>
      <c r="L193" s="71"/>
      <c r="M193" s="71"/>
    </row>
    <row r="194" spans="1:13">
      <c r="A194" s="20"/>
      <c r="B194" s="71"/>
      <c r="C194" s="71"/>
      <c r="D194" s="72"/>
      <c r="E194" s="71"/>
      <c r="F194" s="73"/>
      <c r="G194" s="20"/>
      <c r="H194" s="74"/>
      <c r="I194" s="75"/>
      <c r="J194" s="71"/>
      <c r="K194" s="72"/>
      <c r="L194" s="71"/>
      <c r="M194" s="71"/>
    </row>
    <row r="195" spans="1:13">
      <c r="A195" s="20"/>
      <c r="B195" s="71"/>
      <c r="C195" s="71"/>
      <c r="D195" s="72"/>
      <c r="E195" s="71"/>
      <c r="F195" s="73"/>
      <c r="G195" s="20"/>
      <c r="H195" s="74"/>
      <c r="I195" s="75"/>
      <c r="J195" s="71"/>
      <c r="K195" s="72"/>
      <c r="L195" s="71"/>
      <c r="M195" s="71"/>
    </row>
    <row r="196" spans="1:13">
      <c r="A196" s="20"/>
      <c r="B196" s="71"/>
      <c r="C196" s="71"/>
      <c r="D196" s="72"/>
      <c r="E196" s="71"/>
      <c r="F196" s="73"/>
      <c r="G196" s="20"/>
      <c r="H196" s="74"/>
      <c r="I196" s="75"/>
      <c r="J196" s="71"/>
      <c r="K196" s="72"/>
      <c r="L196" s="71"/>
      <c r="M196" s="71"/>
    </row>
    <row r="197" spans="1:13">
      <c r="A197" s="20"/>
      <c r="B197" s="71"/>
      <c r="C197" s="71"/>
      <c r="D197" s="72"/>
      <c r="E197" s="71"/>
      <c r="F197" s="73"/>
      <c r="G197" s="20"/>
      <c r="H197" s="74"/>
      <c r="I197" s="75"/>
      <c r="J197" s="71"/>
      <c r="K197" s="72"/>
      <c r="L197" s="71"/>
      <c r="M197" s="71"/>
    </row>
    <row r="198" spans="1:13">
      <c r="A198" s="20"/>
      <c r="B198" s="71"/>
      <c r="C198" s="71"/>
      <c r="D198" s="20"/>
      <c r="E198" s="71"/>
      <c r="F198" s="73"/>
      <c r="G198" s="20"/>
      <c r="H198" s="74"/>
      <c r="I198" s="75"/>
      <c r="J198" s="71"/>
      <c r="K198" s="72"/>
      <c r="L198" s="71"/>
      <c r="M198" s="71"/>
    </row>
    <row r="199" spans="1:13">
      <c r="A199" s="20"/>
      <c r="B199" s="71"/>
      <c r="C199" s="71"/>
      <c r="D199" s="20"/>
      <c r="E199" s="71"/>
      <c r="F199" s="73"/>
      <c r="G199" s="20"/>
      <c r="H199" s="74"/>
      <c r="I199" s="75"/>
      <c r="J199" s="71"/>
      <c r="K199" s="72"/>
      <c r="L199" s="71"/>
      <c r="M199" s="71"/>
    </row>
    <row r="200" spans="1:13">
      <c r="A200" s="20"/>
      <c r="B200" s="71"/>
      <c r="C200" s="71"/>
      <c r="D200" s="20"/>
      <c r="E200" s="71"/>
      <c r="F200" s="73"/>
      <c r="G200" s="20"/>
      <c r="H200" s="74"/>
      <c r="I200" s="75"/>
      <c r="J200" s="71"/>
      <c r="K200" s="72"/>
      <c r="L200" s="71"/>
      <c r="M200" s="71"/>
    </row>
    <row r="201" spans="1:13">
      <c r="A201" s="20"/>
      <c r="B201" s="71"/>
      <c r="C201" s="71"/>
      <c r="D201" s="20"/>
      <c r="E201" s="71"/>
      <c r="F201" s="20"/>
      <c r="G201" s="20"/>
      <c r="H201" s="74"/>
      <c r="I201" s="75"/>
      <c r="J201" s="71"/>
      <c r="K201" s="72"/>
      <c r="L201" s="71"/>
      <c r="M201" s="71"/>
    </row>
    <row r="202" spans="1:13">
      <c r="A202" s="20"/>
      <c r="B202" s="71"/>
      <c r="C202" s="71"/>
      <c r="D202" s="20"/>
      <c r="E202" s="71"/>
      <c r="F202" s="20"/>
      <c r="G202" s="20"/>
      <c r="H202" s="74"/>
      <c r="I202" s="75"/>
      <c r="J202" s="71"/>
      <c r="K202" s="72"/>
      <c r="L202" s="71"/>
      <c r="M202" s="71"/>
    </row>
    <row r="203" spans="1:13">
      <c r="A203" s="20"/>
      <c r="B203" s="71"/>
      <c r="C203" s="71"/>
      <c r="D203" s="20"/>
      <c r="E203" s="71"/>
      <c r="F203" s="20"/>
      <c r="G203" s="20"/>
      <c r="H203" s="74"/>
      <c r="I203" s="75"/>
      <c r="J203" s="71"/>
      <c r="K203" s="72"/>
      <c r="L203" s="71"/>
      <c r="M203" s="71"/>
    </row>
    <row r="204" spans="1:13">
      <c r="A204" s="20"/>
      <c r="B204" s="71"/>
      <c r="C204" s="71"/>
      <c r="D204" s="20"/>
      <c r="E204" s="71"/>
      <c r="F204" s="20"/>
      <c r="G204" s="20"/>
      <c r="H204" s="74"/>
      <c r="I204" s="75"/>
      <c r="J204" s="75"/>
      <c r="K204" s="72"/>
      <c r="L204" s="71"/>
      <c r="M204" s="71"/>
    </row>
    <row r="205" spans="1:13">
      <c r="A205" s="20"/>
      <c r="B205" s="71"/>
      <c r="C205" s="71"/>
      <c r="D205" s="20"/>
      <c r="E205" s="20"/>
      <c r="F205" s="20"/>
      <c r="G205" s="20"/>
      <c r="H205" s="74"/>
      <c r="I205" s="75"/>
      <c r="J205" s="75"/>
      <c r="K205" s="72"/>
      <c r="L205" s="71"/>
      <c r="M205" s="71"/>
    </row>
    <row r="206" spans="1:13">
      <c r="A206" s="20"/>
      <c r="B206" s="71"/>
      <c r="C206" s="71"/>
      <c r="D206" s="20"/>
      <c r="E206" s="20"/>
      <c r="F206" s="20"/>
      <c r="G206" s="20"/>
      <c r="H206" s="74"/>
      <c r="I206" s="20"/>
      <c r="J206" s="20"/>
      <c r="K206" s="20"/>
      <c r="L206" s="20"/>
      <c r="M206" s="20"/>
    </row>
    <row r="207" spans="1:13">
      <c r="A207" s="20"/>
      <c r="B207" s="71"/>
      <c r="C207" s="71"/>
      <c r="D207" s="20"/>
      <c r="E207" s="20"/>
      <c r="F207" s="20"/>
      <c r="G207" s="20"/>
      <c r="H207" s="74"/>
      <c r="I207" s="20"/>
      <c r="J207" s="20"/>
      <c r="K207" s="20"/>
      <c r="L207" s="20"/>
      <c r="M207" s="20"/>
    </row>
    <row r="208" spans="1:13">
      <c r="A208" s="20"/>
      <c r="B208" s="20"/>
      <c r="C208" s="20"/>
      <c r="D208" s="20"/>
      <c r="E208" s="20"/>
      <c r="F208" s="20"/>
      <c r="G208" s="20"/>
      <c r="H208" s="74"/>
      <c r="I208" s="20"/>
      <c r="J208" s="20"/>
      <c r="K208" s="20"/>
      <c r="L208" s="20"/>
      <c r="M208" s="20"/>
    </row>
    <row r="209" spans="1:13">
      <c r="A209" s="20"/>
      <c r="B209" s="20"/>
      <c r="C209" s="20"/>
      <c r="D209" s="20"/>
      <c r="E209" s="20"/>
      <c r="F209" s="20"/>
      <c r="G209" s="20"/>
      <c r="H209" s="20"/>
      <c r="I209" s="20"/>
      <c r="J209" s="20"/>
      <c r="K209" s="20"/>
      <c r="L209" s="20"/>
      <c r="M209" s="20"/>
    </row>
    <row r="210" spans="1:13">
      <c r="A210" s="20"/>
      <c r="B210" s="20"/>
      <c r="C210" s="20"/>
      <c r="D210" s="20"/>
      <c r="E210" s="20"/>
      <c r="F210" s="20"/>
      <c r="G210" s="20"/>
      <c r="H210" s="20"/>
      <c r="I210" s="20"/>
      <c r="J210" s="20"/>
      <c r="K210" s="20"/>
      <c r="L210" s="20"/>
      <c r="M210" s="20"/>
    </row>
    <row r="211" spans="1:13">
      <c r="A211" s="20"/>
      <c r="B211" s="20"/>
      <c r="C211" s="20"/>
      <c r="D211" s="20"/>
      <c r="E211" s="20"/>
      <c r="F211" s="20"/>
      <c r="G211" s="20"/>
      <c r="H211" s="20"/>
      <c r="I211" s="20"/>
      <c r="J211" s="20"/>
      <c r="K211" s="20"/>
      <c r="L211" s="20"/>
      <c r="M211" s="20"/>
    </row>
    <row r="212" spans="1:13">
      <c r="A212" s="20"/>
      <c r="B212" s="20"/>
      <c r="C212" s="20"/>
      <c r="D212" s="20"/>
      <c r="E212" s="20"/>
      <c r="F212" s="20"/>
      <c r="G212" s="20"/>
      <c r="H212" s="20"/>
      <c r="I212" s="20"/>
      <c r="J212" s="20"/>
      <c r="K212" s="20"/>
      <c r="L212" s="20"/>
      <c r="M212" s="20"/>
    </row>
    <row r="213" spans="1:13">
      <c r="A213" s="20"/>
      <c r="B213" s="20"/>
      <c r="C213" s="20"/>
      <c r="D213" s="20"/>
      <c r="E213" s="20"/>
      <c r="F213" s="20"/>
      <c r="G213" s="20"/>
      <c r="H213" s="20"/>
      <c r="I213" s="20"/>
      <c r="J213" s="20"/>
      <c r="K213" s="20"/>
      <c r="L213" s="20"/>
      <c r="M213" s="20"/>
    </row>
    <row r="214" spans="1:13">
      <c r="A214" s="20"/>
      <c r="B214" s="20"/>
      <c r="C214" s="20"/>
      <c r="D214" s="20"/>
      <c r="E214" s="20"/>
      <c r="F214" s="20"/>
      <c r="G214" s="20"/>
      <c r="H214" s="20"/>
      <c r="I214" s="20"/>
      <c r="J214" s="20"/>
      <c r="K214" s="20"/>
      <c r="L214" s="20"/>
      <c r="M214" s="20"/>
    </row>
    <row r="215" spans="1:13">
      <c r="A215" s="20"/>
      <c r="B215" s="20"/>
      <c r="C215" s="20"/>
      <c r="D215" s="20"/>
      <c r="E215" s="20"/>
      <c r="F215" s="20"/>
      <c r="G215" s="20"/>
      <c r="H215" s="20"/>
      <c r="I215" s="20"/>
      <c r="J215" s="20"/>
      <c r="K215" s="20"/>
      <c r="L215" s="20"/>
      <c r="M215" s="20"/>
    </row>
    <row r="216" spans="1:13">
      <c r="A216" s="20"/>
      <c r="B216" s="20"/>
      <c r="C216" s="20"/>
      <c r="D216" s="20"/>
      <c r="E216" s="20"/>
      <c r="F216" s="20"/>
      <c r="G216" s="20"/>
      <c r="H216" s="20"/>
      <c r="I216" s="20"/>
      <c r="J216" s="20"/>
      <c r="K216" s="20"/>
      <c r="L216" s="20"/>
      <c r="M216" s="20"/>
    </row>
    <row r="217" spans="1:13">
      <c r="A217" s="20"/>
      <c r="B217" s="20"/>
      <c r="C217" s="20"/>
      <c r="D217" s="20"/>
      <c r="E217" s="20"/>
      <c r="F217" s="20"/>
      <c r="G217" s="20"/>
      <c r="H217" s="20"/>
      <c r="I217" s="20"/>
      <c r="J217" s="20"/>
      <c r="K217" s="20"/>
      <c r="L217" s="20"/>
      <c r="M217" s="20"/>
    </row>
    <row r="218" spans="1:13">
      <c r="A218" s="20"/>
      <c r="B218" s="20"/>
      <c r="C218" s="20"/>
      <c r="D218" s="20"/>
      <c r="E218" s="20"/>
      <c r="F218" s="20"/>
      <c r="G218" s="20"/>
      <c r="H218" s="20"/>
      <c r="I218" s="20"/>
      <c r="J218" s="20"/>
      <c r="K218" s="20"/>
      <c r="L218" s="20"/>
      <c r="M218" s="20"/>
    </row>
    <row r="219" spans="1:13">
      <c r="A219" s="20"/>
      <c r="B219" s="20"/>
      <c r="C219" s="20"/>
      <c r="D219" s="20"/>
      <c r="E219" s="20"/>
      <c r="F219" s="20"/>
      <c r="G219" s="20"/>
      <c r="H219" s="20"/>
      <c r="I219" s="20"/>
      <c r="J219" s="20"/>
      <c r="K219" s="20"/>
      <c r="L219" s="20"/>
      <c r="M219" s="20"/>
    </row>
    <row r="220" spans="1:13">
      <c r="A220" s="20"/>
      <c r="B220" s="20"/>
      <c r="C220" s="20"/>
      <c r="D220" s="20"/>
      <c r="E220" s="20"/>
      <c r="F220" s="20"/>
      <c r="G220" s="20"/>
      <c r="H220" s="20"/>
      <c r="I220" s="20"/>
      <c r="J220" s="20"/>
      <c r="K220" s="20"/>
      <c r="L220" s="20"/>
      <c r="M220" s="20"/>
    </row>
    <row r="221" spans="1:13">
      <c r="A221" s="20"/>
      <c r="B221" s="20"/>
      <c r="C221" s="20"/>
      <c r="D221" s="20"/>
      <c r="E221" s="20"/>
      <c r="F221" s="20"/>
      <c r="G221" s="20"/>
      <c r="H221" s="20"/>
      <c r="I221" s="20"/>
      <c r="J221" s="20"/>
      <c r="K221" s="20"/>
      <c r="L221" s="20"/>
      <c r="M221" s="20"/>
    </row>
    <row r="222" spans="1:13">
      <c r="A222" s="20"/>
      <c r="B222" s="20"/>
      <c r="C222" s="20"/>
      <c r="D222" s="20"/>
      <c r="E222" s="20"/>
      <c r="F222" s="20"/>
      <c r="G222" s="20"/>
      <c r="H222" s="20"/>
      <c r="I222" s="20"/>
      <c r="J222" s="20"/>
      <c r="K222" s="20"/>
      <c r="L222" s="20"/>
      <c r="M222" s="20"/>
    </row>
    <row r="223" spans="1:13">
      <c r="A223" s="20"/>
      <c r="B223" s="20"/>
      <c r="C223" s="20"/>
      <c r="D223" s="20"/>
      <c r="E223" s="20"/>
      <c r="F223" s="20"/>
      <c r="G223" s="20"/>
      <c r="H223" s="20"/>
      <c r="I223" s="20"/>
      <c r="J223" s="20"/>
      <c r="K223" s="20"/>
      <c r="L223" s="20"/>
      <c r="M223" s="20"/>
    </row>
    <row r="224" spans="1:13">
      <c r="A224" s="20"/>
      <c r="B224" s="20"/>
      <c r="C224" s="20"/>
      <c r="D224" s="20"/>
      <c r="E224" s="20"/>
      <c r="F224" s="20"/>
      <c r="G224" s="20"/>
      <c r="H224" s="20"/>
      <c r="I224" s="20"/>
      <c r="J224" s="20"/>
      <c r="K224" s="20"/>
      <c r="L224" s="20"/>
      <c r="M224" s="20"/>
    </row>
    <row r="225" spans="1:13">
      <c r="A225" s="20"/>
      <c r="B225" s="20"/>
      <c r="C225" s="20"/>
      <c r="D225" s="20"/>
      <c r="E225" s="20"/>
      <c r="F225" s="20"/>
      <c r="G225" s="20"/>
      <c r="H225" s="20"/>
      <c r="I225" s="20"/>
      <c r="J225" s="20"/>
      <c r="K225" s="20"/>
      <c r="L225" s="20"/>
      <c r="M225" s="20"/>
    </row>
    <row r="226" spans="1:13">
      <c r="A226" s="20"/>
      <c r="B226" s="20"/>
      <c r="C226" s="20"/>
      <c r="D226" s="20"/>
      <c r="E226" s="20"/>
      <c r="F226" s="20"/>
      <c r="G226" s="20"/>
      <c r="H226" s="20"/>
      <c r="I226" s="20"/>
      <c r="J226" s="20"/>
      <c r="K226" s="20"/>
      <c r="L226" s="20"/>
      <c r="M226" s="20"/>
    </row>
    <row r="227" spans="1:13">
      <c r="A227" s="20"/>
      <c r="B227" s="20"/>
      <c r="C227" s="20"/>
      <c r="D227" s="20"/>
      <c r="E227" s="20"/>
      <c r="F227" s="20"/>
      <c r="G227" s="20"/>
      <c r="H227" s="20"/>
      <c r="I227" s="20"/>
      <c r="J227" s="20"/>
      <c r="K227" s="20"/>
      <c r="L227" s="20"/>
      <c r="M227" s="20"/>
    </row>
    <row r="228" spans="1:13">
      <c r="A228" s="20"/>
      <c r="B228" s="20"/>
      <c r="C228" s="20"/>
      <c r="D228" s="20"/>
      <c r="E228" s="20"/>
      <c r="F228" s="20"/>
      <c r="G228" s="20"/>
      <c r="H228" s="20"/>
      <c r="I228" s="20"/>
      <c r="J228" s="20"/>
      <c r="K228" s="20"/>
      <c r="L228" s="20"/>
      <c r="M228" s="20"/>
    </row>
    <row r="229" spans="1:13">
      <c r="A229" s="20"/>
      <c r="B229" s="20"/>
      <c r="C229" s="20"/>
      <c r="D229" s="20"/>
      <c r="E229" s="20"/>
      <c r="F229" s="20"/>
      <c r="G229" s="20"/>
      <c r="H229" s="20"/>
      <c r="I229" s="20"/>
      <c r="J229" s="20"/>
      <c r="K229" s="20"/>
      <c r="L229" s="20"/>
      <c r="M229" s="20"/>
    </row>
    <row r="230" spans="1:13">
      <c r="A230" s="20"/>
      <c r="B230" s="20"/>
      <c r="C230" s="20"/>
      <c r="D230" s="20"/>
      <c r="E230" s="20"/>
      <c r="F230" s="20"/>
      <c r="G230" s="20"/>
      <c r="H230" s="20"/>
      <c r="I230" s="20"/>
      <c r="J230" s="20"/>
      <c r="K230" s="20"/>
      <c r="L230" s="20"/>
      <c r="M230" s="20"/>
    </row>
    <row r="231" spans="1:13">
      <c r="A231" s="20"/>
      <c r="B231" s="20"/>
      <c r="C231" s="20"/>
      <c r="D231" s="20"/>
      <c r="E231" s="20"/>
      <c r="F231" s="20"/>
      <c r="G231" s="20"/>
      <c r="H231" s="20"/>
      <c r="I231" s="20"/>
      <c r="J231" s="20"/>
      <c r="K231" s="20"/>
      <c r="L231" s="20"/>
      <c r="M231" s="20"/>
    </row>
    <row r="232" spans="1:13">
      <c r="A232" s="20"/>
      <c r="B232" s="20"/>
      <c r="C232" s="20"/>
      <c r="D232" s="20"/>
      <c r="E232" s="20"/>
      <c r="F232" s="20"/>
      <c r="G232" s="20"/>
      <c r="H232" s="20"/>
      <c r="I232" s="20"/>
      <c r="J232" s="20"/>
      <c r="K232" s="20"/>
      <c r="L232" s="20"/>
      <c r="M232" s="20"/>
    </row>
    <row r="233" spans="1:13">
      <c r="A233" s="20"/>
      <c r="B233" s="20"/>
      <c r="C233" s="20"/>
      <c r="D233" s="20"/>
      <c r="E233" s="20"/>
      <c r="F233" s="20"/>
      <c r="G233" s="20"/>
      <c r="H233" s="20"/>
      <c r="I233" s="20"/>
      <c r="J233" s="20"/>
      <c r="K233" s="20"/>
      <c r="L233" s="20"/>
      <c r="M233" s="20"/>
    </row>
    <row r="234" spans="1:13">
      <c r="A234" s="20"/>
      <c r="B234" s="20"/>
      <c r="C234" s="20"/>
      <c r="D234" s="20"/>
      <c r="E234" s="20"/>
      <c r="F234" s="20"/>
      <c r="G234" s="20"/>
      <c r="H234" s="20"/>
      <c r="I234" s="20"/>
      <c r="J234" s="20"/>
      <c r="K234" s="20"/>
      <c r="L234" s="20"/>
      <c r="M234" s="20"/>
    </row>
    <row r="235" spans="1:13">
      <c r="A235" s="20"/>
      <c r="B235" s="20"/>
      <c r="C235" s="20"/>
      <c r="D235" s="20"/>
      <c r="E235" s="20"/>
      <c r="F235" s="20"/>
      <c r="G235" s="20"/>
      <c r="H235" s="20"/>
      <c r="I235" s="20"/>
      <c r="J235" s="20"/>
      <c r="K235" s="20"/>
      <c r="L235" s="20"/>
      <c r="M235" s="20"/>
    </row>
    <row r="236" spans="1:13">
      <c r="A236" s="20"/>
      <c r="B236" s="20"/>
      <c r="C236" s="20"/>
      <c r="D236" s="20"/>
      <c r="E236" s="20"/>
      <c r="F236" s="20"/>
      <c r="G236" s="20"/>
      <c r="H236" s="20"/>
      <c r="I236" s="20"/>
      <c r="J236" s="20"/>
      <c r="K236" s="20"/>
      <c r="L236" s="20"/>
      <c r="M236" s="20"/>
    </row>
    <row r="237" spans="1:13">
      <c r="A237" s="20"/>
      <c r="B237" s="20"/>
      <c r="C237" s="20"/>
      <c r="D237" s="20"/>
      <c r="E237" s="20"/>
      <c r="F237" s="20"/>
      <c r="G237" s="20"/>
      <c r="H237" s="20"/>
      <c r="I237" s="20"/>
      <c r="J237" s="20"/>
      <c r="K237" s="20"/>
      <c r="L237" s="20"/>
      <c r="M237" s="20"/>
    </row>
    <row r="238" spans="1:13">
      <c r="A238" s="20"/>
      <c r="B238" s="20"/>
      <c r="C238" s="20"/>
      <c r="D238" s="20"/>
      <c r="E238" s="20"/>
      <c r="F238" s="20"/>
      <c r="G238" s="20"/>
      <c r="H238" s="20"/>
      <c r="I238" s="20"/>
      <c r="J238" s="20"/>
      <c r="K238" s="20"/>
      <c r="L238" s="20"/>
      <c r="M238" s="20"/>
    </row>
    <row r="239" spans="1:13">
      <c r="A239" s="20"/>
      <c r="B239" s="20"/>
      <c r="C239" s="20"/>
      <c r="D239" s="20"/>
      <c r="E239" s="20"/>
      <c r="F239" s="20"/>
      <c r="G239" s="20"/>
      <c r="H239" s="20"/>
      <c r="I239" s="20"/>
      <c r="J239" s="20"/>
      <c r="K239" s="20"/>
      <c r="L239" s="20"/>
      <c r="M239" s="20"/>
    </row>
    <row r="240" spans="1:13">
      <c r="A240" s="20"/>
      <c r="B240" s="20"/>
      <c r="C240" s="20"/>
      <c r="D240" s="20"/>
      <c r="E240" s="20"/>
      <c r="F240" s="20"/>
      <c r="G240" s="20"/>
      <c r="H240" s="20"/>
      <c r="I240" s="20"/>
      <c r="J240" s="20"/>
      <c r="K240" s="20"/>
      <c r="L240" s="20"/>
      <c r="M240" s="20"/>
    </row>
    <row r="241" spans="1:13">
      <c r="A241" s="20"/>
      <c r="B241" s="20"/>
      <c r="C241" s="20"/>
      <c r="D241" s="20"/>
      <c r="E241" s="20"/>
      <c r="F241" s="20"/>
      <c r="G241" s="20"/>
      <c r="H241" s="20"/>
      <c r="I241" s="20"/>
      <c r="J241" s="20"/>
      <c r="K241" s="20"/>
      <c r="L241" s="20"/>
      <c r="M241" s="20"/>
    </row>
    <row r="242" spans="1:13">
      <c r="A242" s="20"/>
      <c r="B242" s="20"/>
      <c r="C242" s="20"/>
      <c r="D242" s="20"/>
      <c r="E242" s="20"/>
      <c r="F242" s="20"/>
      <c r="G242" s="20"/>
      <c r="H242" s="20"/>
      <c r="I242" s="20"/>
      <c r="J242" s="20"/>
      <c r="K242" s="20"/>
      <c r="L242" s="20"/>
      <c r="M242" s="20"/>
    </row>
    <row r="243" spans="1:13">
      <c r="A243" s="20"/>
      <c r="B243" s="20"/>
      <c r="C243" s="20"/>
      <c r="D243" s="20"/>
      <c r="E243" s="20"/>
      <c r="F243" s="20"/>
      <c r="G243" s="20"/>
      <c r="H243" s="20"/>
      <c r="I243" s="20"/>
      <c r="J243" s="20"/>
      <c r="K243" s="20"/>
      <c r="L243" s="20"/>
      <c r="M243" s="20"/>
    </row>
    <row r="244" spans="1:13">
      <c r="A244" s="20"/>
      <c r="B244" s="20"/>
      <c r="C244" s="20"/>
      <c r="D244" s="20"/>
      <c r="E244" s="20"/>
      <c r="F244" s="20"/>
      <c r="G244" s="20"/>
      <c r="H244" s="20"/>
      <c r="I244" s="20"/>
      <c r="J244" s="20"/>
      <c r="K244" s="20"/>
      <c r="L244" s="20"/>
      <c r="M244" s="20"/>
    </row>
    <row r="245" spans="1:13">
      <c r="A245" s="20"/>
      <c r="B245" s="20"/>
      <c r="C245" s="20"/>
      <c r="D245" s="20"/>
      <c r="E245" s="20"/>
      <c r="F245" s="20"/>
      <c r="G245" s="20"/>
      <c r="H245" s="20"/>
      <c r="I245" s="20"/>
      <c r="J245" s="20"/>
      <c r="K245" s="20"/>
      <c r="L245" s="20"/>
      <c r="M245" s="20"/>
    </row>
    <row r="246" spans="1:13">
      <c r="A246" s="20"/>
      <c r="B246" s="20"/>
      <c r="C246" s="20"/>
      <c r="D246" s="20"/>
      <c r="E246" s="20"/>
      <c r="F246" s="20"/>
      <c r="G246" s="20"/>
      <c r="H246" s="20"/>
      <c r="I246" s="20"/>
      <c r="J246" s="20"/>
      <c r="K246" s="20"/>
      <c r="L246" s="20"/>
      <c r="M246" s="20"/>
    </row>
    <row r="247" spans="1:13">
      <c r="A247" s="20"/>
      <c r="B247" s="20"/>
      <c r="C247" s="20"/>
      <c r="D247" s="20"/>
      <c r="E247" s="20"/>
      <c r="F247" s="20"/>
      <c r="G247" s="20"/>
      <c r="H247" s="20"/>
      <c r="I247" s="20"/>
      <c r="J247" s="20"/>
      <c r="K247" s="20"/>
      <c r="L247" s="20"/>
      <c r="M247" s="20"/>
    </row>
    <row r="248" spans="1:13">
      <c r="A248" s="20"/>
      <c r="B248" s="20"/>
      <c r="C248" s="20"/>
      <c r="D248" s="20"/>
      <c r="E248" s="20"/>
      <c r="F248" s="20"/>
      <c r="G248" s="20"/>
      <c r="H248" s="20"/>
      <c r="I248" s="20"/>
      <c r="J248" s="20"/>
      <c r="K248" s="20"/>
      <c r="L248" s="20"/>
      <c r="M248" s="20"/>
    </row>
    <row r="249" spans="1:13">
      <c r="A249" s="20"/>
      <c r="B249" s="20"/>
      <c r="C249" s="20"/>
      <c r="D249" s="20"/>
      <c r="E249" s="20"/>
      <c r="F249" s="20"/>
      <c r="G249" s="20"/>
      <c r="H249" s="20"/>
      <c r="I249" s="20"/>
      <c r="J249" s="20"/>
      <c r="K249" s="20"/>
      <c r="L249" s="20"/>
      <c r="M249" s="20"/>
    </row>
    <row r="250" spans="1:13">
      <c r="A250" s="20"/>
      <c r="B250" s="20"/>
      <c r="C250" s="20"/>
      <c r="D250" s="20"/>
      <c r="E250" s="20"/>
      <c r="F250" s="20"/>
      <c r="G250" s="20"/>
      <c r="H250" s="20"/>
      <c r="I250" s="20"/>
      <c r="J250" s="20"/>
      <c r="K250" s="20"/>
      <c r="L250" s="20"/>
      <c r="M250" s="20"/>
    </row>
    <row r="251" spans="1:13">
      <c r="A251" s="20"/>
      <c r="B251" s="20"/>
      <c r="C251" s="20"/>
      <c r="D251" s="20"/>
      <c r="E251" s="20"/>
      <c r="F251" s="20"/>
      <c r="G251" s="20"/>
      <c r="H251" s="20"/>
      <c r="I251" s="20"/>
      <c r="J251" s="20"/>
      <c r="K251" s="20"/>
      <c r="L251" s="20"/>
      <c r="M251" s="20"/>
    </row>
    <row r="252" spans="1:13">
      <c r="A252" s="20"/>
      <c r="B252" s="20"/>
      <c r="C252" s="20"/>
      <c r="D252" s="20"/>
      <c r="E252" s="20"/>
      <c r="F252" s="20"/>
      <c r="G252" s="20"/>
      <c r="H252" s="20"/>
      <c r="I252" s="20"/>
      <c r="J252" s="20"/>
      <c r="K252" s="20"/>
      <c r="L252" s="20"/>
      <c r="M252" s="20"/>
    </row>
    <row r="253" spans="1:13">
      <c r="A253" s="20"/>
      <c r="B253" s="20"/>
      <c r="C253" s="20"/>
      <c r="D253" s="20"/>
      <c r="E253" s="20"/>
      <c r="F253" s="20"/>
      <c r="G253" s="20"/>
      <c r="H253" s="20"/>
      <c r="I253" s="20"/>
      <c r="J253" s="20"/>
      <c r="K253" s="20"/>
      <c r="L253" s="20"/>
      <c r="M253" s="20"/>
    </row>
    <row r="254" spans="1:13">
      <c r="A254" s="20"/>
      <c r="B254" s="20"/>
      <c r="C254" s="20"/>
      <c r="D254" s="20"/>
      <c r="E254" s="20"/>
      <c r="F254" s="20"/>
      <c r="G254" s="20"/>
      <c r="H254" s="20"/>
      <c r="I254" s="20"/>
      <c r="J254" s="20"/>
      <c r="K254" s="20"/>
      <c r="L254" s="20"/>
      <c r="M254" s="20"/>
    </row>
    <row r="255" spans="1:13">
      <c r="A255" s="20"/>
      <c r="B255" s="20"/>
      <c r="C255" s="20"/>
      <c r="D255" s="20"/>
      <c r="E255" s="20"/>
      <c r="F255" s="20"/>
      <c r="G255" s="20"/>
      <c r="H255" s="20"/>
      <c r="I255" s="20"/>
      <c r="J255" s="20"/>
      <c r="K255" s="20"/>
      <c r="L255" s="20"/>
      <c r="M255" s="20"/>
    </row>
    <row r="256" spans="1:13">
      <c r="A256" s="20"/>
      <c r="B256" s="20"/>
      <c r="C256" s="20"/>
      <c r="D256" s="20"/>
      <c r="E256" s="20"/>
      <c r="F256" s="20"/>
      <c r="G256" s="20"/>
      <c r="H256" s="20"/>
      <c r="I256" s="20"/>
      <c r="J256" s="20"/>
      <c r="K256" s="20"/>
      <c r="L256" s="20"/>
      <c r="M256" s="20"/>
    </row>
    <row r="257" spans="1:13">
      <c r="A257" s="20"/>
      <c r="B257" s="20"/>
      <c r="C257" s="20"/>
      <c r="D257" s="20"/>
      <c r="E257" s="20"/>
      <c r="F257" s="20"/>
      <c r="G257" s="20"/>
      <c r="H257" s="20"/>
      <c r="I257" s="20"/>
      <c r="J257" s="20"/>
      <c r="K257" s="20"/>
      <c r="L257" s="20"/>
      <c r="M257" s="20"/>
    </row>
    <row r="258" spans="1:13">
      <c r="A258" s="20"/>
      <c r="B258" s="20"/>
      <c r="C258" s="20"/>
      <c r="D258" s="20"/>
      <c r="E258" s="20"/>
      <c r="F258" s="20"/>
      <c r="G258" s="20"/>
      <c r="H258" s="20"/>
      <c r="I258" s="20"/>
      <c r="J258" s="20"/>
      <c r="K258" s="20"/>
      <c r="L258" s="20"/>
      <c r="M258" s="20"/>
    </row>
    <row r="259" spans="1:13">
      <c r="A259" s="20"/>
      <c r="B259" s="20"/>
      <c r="C259" s="20"/>
      <c r="D259" s="20"/>
      <c r="E259" s="20"/>
      <c r="F259" s="20"/>
      <c r="G259" s="20"/>
      <c r="H259" s="20"/>
      <c r="I259" s="20"/>
      <c r="J259" s="20"/>
      <c r="K259" s="20"/>
      <c r="L259" s="20"/>
      <c r="M259" s="20"/>
    </row>
    <row r="260" spans="1:13">
      <c r="A260" s="20"/>
      <c r="B260" s="20"/>
      <c r="C260" s="20"/>
      <c r="D260" s="20"/>
      <c r="E260" s="20"/>
      <c r="F260" s="20"/>
      <c r="G260" s="20"/>
      <c r="H260" s="20"/>
      <c r="I260" s="20"/>
      <c r="J260" s="20"/>
      <c r="K260" s="20"/>
      <c r="L260" s="20"/>
      <c r="M260" s="20"/>
    </row>
    <row r="261" spans="1:13">
      <c r="A261" s="20"/>
      <c r="B261" s="20"/>
      <c r="C261" s="20"/>
      <c r="D261" s="20"/>
      <c r="E261" s="20"/>
      <c r="F261" s="20"/>
      <c r="G261" s="20"/>
      <c r="H261" s="20"/>
      <c r="I261" s="20"/>
      <c r="J261" s="20"/>
      <c r="K261" s="20"/>
      <c r="L261" s="20"/>
      <c r="M261" s="20"/>
    </row>
    <row r="262" spans="1:13">
      <c r="A262" s="20"/>
      <c r="B262" s="20"/>
      <c r="C262" s="20"/>
      <c r="D262" s="20"/>
      <c r="E262" s="20"/>
      <c r="F262" s="20"/>
      <c r="G262" s="20"/>
      <c r="H262" s="20"/>
      <c r="I262" s="20"/>
      <c r="J262" s="20"/>
      <c r="K262" s="20"/>
      <c r="L262" s="20"/>
      <c r="M262" s="20"/>
    </row>
    <row r="263" spans="1:13">
      <c r="A263" s="20"/>
      <c r="B263" s="20"/>
      <c r="C263" s="20"/>
      <c r="D263" s="20"/>
      <c r="E263" s="20"/>
      <c r="F263" s="20"/>
      <c r="G263" s="20"/>
      <c r="H263" s="20"/>
      <c r="I263" s="20"/>
      <c r="J263" s="20"/>
      <c r="K263" s="20"/>
      <c r="L263" s="20"/>
      <c r="M263" s="20"/>
    </row>
    <row r="264" spans="1:13">
      <c r="A264" s="20"/>
      <c r="B264" s="20"/>
      <c r="C264" s="20"/>
      <c r="D264" s="20"/>
      <c r="E264" s="20"/>
      <c r="F264" s="20"/>
      <c r="G264" s="20"/>
      <c r="H264" s="20"/>
      <c r="I264" s="20"/>
      <c r="J264" s="20"/>
      <c r="K264" s="20"/>
      <c r="L264" s="20"/>
      <c r="M264" s="20"/>
    </row>
    <row r="265" spans="1:13">
      <c r="A265" s="20"/>
      <c r="B265" s="20"/>
      <c r="C265" s="20"/>
      <c r="D265" s="20"/>
      <c r="E265" s="20"/>
      <c r="F265" s="20"/>
      <c r="G265" s="20"/>
      <c r="H265" s="20"/>
      <c r="I265" s="20"/>
      <c r="J265" s="20"/>
      <c r="K265" s="20"/>
      <c r="L265" s="20"/>
      <c r="M265" s="20"/>
    </row>
    <row r="266" spans="1:13">
      <c r="A266" s="20"/>
      <c r="B266" s="20"/>
      <c r="C266" s="20"/>
      <c r="D266" s="20"/>
      <c r="E266" s="20"/>
      <c r="F266" s="20"/>
      <c r="G266" s="20"/>
      <c r="H266" s="20"/>
      <c r="I266" s="20"/>
      <c r="J266" s="20"/>
      <c r="K266" s="20"/>
      <c r="L266" s="20"/>
      <c r="M266" s="20"/>
    </row>
    <row r="267" spans="1:13">
      <c r="A267" s="20"/>
      <c r="B267" s="20"/>
      <c r="C267" s="20"/>
      <c r="D267" s="20"/>
      <c r="E267" s="20"/>
      <c r="F267" s="20"/>
      <c r="G267" s="20"/>
      <c r="H267" s="20"/>
      <c r="I267" s="20"/>
      <c r="J267" s="20"/>
      <c r="K267" s="20"/>
      <c r="L267" s="20"/>
      <c r="M267" s="20"/>
    </row>
    <row r="268" spans="1:13">
      <c r="A268" s="20"/>
      <c r="B268" s="20"/>
      <c r="C268" s="20"/>
      <c r="D268" s="20"/>
      <c r="E268" s="20"/>
      <c r="F268" s="20"/>
      <c r="G268" s="20"/>
      <c r="H268" s="20"/>
      <c r="I268" s="20"/>
      <c r="J268" s="20"/>
      <c r="K268" s="20"/>
      <c r="L268" s="20"/>
      <c r="M268" s="20"/>
    </row>
    <row r="269" spans="1:13">
      <c r="A269" s="20"/>
      <c r="B269" s="20"/>
      <c r="C269" s="20"/>
      <c r="D269" s="20"/>
      <c r="E269" s="20"/>
      <c r="F269" s="20"/>
      <c r="G269" s="20"/>
      <c r="H269" s="20"/>
      <c r="I269" s="20"/>
      <c r="J269" s="20"/>
      <c r="K269" s="20"/>
      <c r="L269" s="20"/>
      <c r="M269" s="20"/>
    </row>
    <row r="270" spans="1:13">
      <c r="A270" s="20"/>
      <c r="B270" s="20"/>
      <c r="C270" s="20"/>
      <c r="D270" s="20"/>
      <c r="E270" s="20"/>
      <c r="F270" s="20"/>
      <c r="G270" s="20"/>
      <c r="H270" s="20"/>
      <c r="I270" s="20"/>
      <c r="J270" s="20"/>
      <c r="K270" s="20"/>
      <c r="L270" s="20"/>
      <c r="M270" s="20"/>
    </row>
    <row r="271" spans="1:13">
      <c r="A271" s="20"/>
      <c r="B271" s="20"/>
      <c r="C271" s="20"/>
      <c r="D271" s="20"/>
      <c r="E271" s="20"/>
      <c r="F271" s="20"/>
      <c r="G271" s="20"/>
      <c r="H271" s="20"/>
      <c r="I271" s="20"/>
      <c r="J271" s="20"/>
      <c r="K271" s="20"/>
      <c r="L271" s="20"/>
      <c r="M271" s="20"/>
    </row>
    <row r="272" spans="1:13">
      <c r="A272" s="20"/>
      <c r="B272" s="20"/>
      <c r="C272" s="20"/>
      <c r="D272" s="20"/>
      <c r="E272" s="20"/>
      <c r="F272" s="20"/>
      <c r="G272" s="20"/>
      <c r="H272" s="20"/>
      <c r="I272" s="20"/>
      <c r="J272" s="20"/>
      <c r="K272" s="20"/>
      <c r="L272" s="20"/>
      <c r="M272" s="20"/>
    </row>
    <row r="273" spans="1:13">
      <c r="A273" s="20"/>
      <c r="B273" s="20"/>
      <c r="C273" s="20"/>
      <c r="D273" s="20"/>
      <c r="E273" s="20"/>
      <c r="F273" s="20"/>
      <c r="G273" s="20"/>
      <c r="H273" s="20"/>
      <c r="I273" s="20"/>
      <c r="J273" s="20"/>
      <c r="K273" s="20"/>
      <c r="L273" s="20"/>
      <c r="M273" s="20"/>
    </row>
    <row r="274" spans="1:13">
      <c r="A274" s="20"/>
      <c r="B274" s="20"/>
      <c r="C274" s="20"/>
      <c r="D274" s="20"/>
      <c r="E274" s="20"/>
      <c r="F274" s="20"/>
      <c r="G274" s="20"/>
      <c r="H274" s="20"/>
      <c r="I274" s="20"/>
      <c r="J274" s="20"/>
      <c r="K274" s="20"/>
      <c r="L274" s="20"/>
      <c r="M274" s="20"/>
    </row>
    <row r="275" spans="1:13">
      <c r="A275" s="20"/>
      <c r="B275" s="20"/>
      <c r="C275" s="20"/>
      <c r="D275" s="20"/>
      <c r="E275" s="20"/>
      <c r="F275" s="20"/>
      <c r="G275" s="20"/>
      <c r="H275" s="20"/>
      <c r="I275" s="20"/>
      <c r="J275" s="20"/>
      <c r="K275" s="20"/>
      <c r="L275" s="20"/>
      <c r="M275" s="20"/>
    </row>
    <row r="276" spans="1:13">
      <c r="A276" s="20"/>
      <c r="B276" s="20"/>
      <c r="C276" s="20"/>
      <c r="D276" s="20"/>
      <c r="E276" s="20"/>
      <c r="F276" s="20"/>
      <c r="G276" s="20"/>
      <c r="H276" s="20"/>
      <c r="I276" s="20"/>
      <c r="J276" s="20"/>
      <c r="K276" s="20"/>
      <c r="L276" s="20"/>
      <c r="M276" s="20"/>
    </row>
    <row r="277" spans="1:13">
      <c r="A277" s="20"/>
      <c r="B277" s="20"/>
      <c r="C277" s="20"/>
      <c r="D277" s="20"/>
      <c r="E277" s="20"/>
      <c r="F277" s="20"/>
      <c r="G277" s="20"/>
      <c r="H277" s="20"/>
      <c r="I277" s="20"/>
      <c r="J277" s="20"/>
      <c r="K277" s="20"/>
      <c r="L277" s="20"/>
      <c r="M277" s="20"/>
    </row>
    <row r="278" spans="1:13">
      <c r="A278" s="20"/>
      <c r="B278" s="20"/>
      <c r="C278" s="20"/>
      <c r="D278" s="20"/>
      <c r="E278" s="20"/>
      <c r="F278" s="20"/>
      <c r="G278" s="20"/>
      <c r="H278" s="20"/>
      <c r="I278" s="20"/>
      <c r="J278" s="20"/>
      <c r="K278" s="20"/>
      <c r="L278" s="20"/>
      <c r="M278" s="20"/>
    </row>
    <row r="279" spans="1:13">
      <c r="A279" s="20"/>
      <c r="B279" s="20"/>
      <c r="C279" s="20"/>
      <c r="D279" s="20"/>
      <c r="E279" s="20"/>
      <c r="F279" s="20"/>
      <c r="G279" s="20"/>
      <c r="H279" s="20"/>
      <c r="I279" s="20"/>
      <c r="J279" s="20"/>
      <c r="K279" s="20"/>
      <c r="L279" s="20"/>
      <c r="M279" s="20"/>
    </row>
    <row r="280" spans="1:13">
      <c r="A280" s="20"/>
      <c r="B280" s="20"/>
      <c r="C280" s="20"/>
      <c r="D280" s="20"/>
      <c r="E280" s="20"/>
      <c r="F280" s="20"/>
      <c r="G280" s="20"/>
      <c r="H280" s="20"/>
      <c r="I280" s="20"/>
      <c r="J280" s="20"/>
      <c r="K280" s="20"/>
      <c r="L280" s="20"/>
      <c r="M280" s="20"/>
    </row>
    <row r="281" spans="1:13">
      <c r="A281" s="20"/>
      <c r="B281" s="20"/>
      <c r="C281" s="20"/>
      <c r="D281" s="20"/>
      <c r="E281" s="20"/>
      <c r="F281" s="20"/>
      <c r="G281" s="20"/>
      <c r="H281" s="20"/>
      <c r="I281" s="20"/>
      <c r="J281" s="20"/>
      <c r="K281" s="20"/>
      <c r="L281" s="20"/>
      <c r="M281" s="20"/>
    </row>
    <row r="282" spans="1:13">
      <c r="A282" s="20"/>
      <c r="B282" s="20"/>
      <c r="C282" s="20"/>
      <c r="D282" s="20"/>
      <c r="E282" s="20"/>
      <c r="F282" s="20"/>
      <c r="G282" s="20"/>
      <c r="H282" s="20"/>
      <c r="I282" s="20"/>
      <c r="J282" s="20"/>
      <c r="K282" s="20"/>
      <c r="L282" s="20"/>
      <c r="M282" s="20"/>
    </row>
    <row r="283" spans="1:13">
      <c r="A283" s="20"/>
      <c r="B283" s="20"/>
      <c r="C283" s="20"/>
      <c r="D283" s="20"/>
      <c r="E283" s="20"/>
      <c r="F283" s="20"/>
      <c r="G283" s="20"/>
      <c r="H283" s="20"/>
      <c r="I283" s="20"/>
      <c r="J283" s="20"/>
      <c r="K283" s="20"/>
      <c r="L283" s="20"/>
      <c r="M283" s="20"/>
    </row>
    <row r="284" spans="1:13">
      <c r="A284" s="20"/>
      <c r="B284" s="20"/>
      <c r="C284" s="20"/>
      <c r="D284" s="20"/>
      <c r="E284" s="20"/>
      <c r="F284" s="20"/>
      <c r="G284" s="20"/>
      <c r="H284" s="20"/>
      <c r="I284" s="20"/>
      <c r="J284" s="20"/>
      <c r="K284" s="20"/>
      <c r="L284" s="20"/>
      <c r="M284" s="20"/>
    </row>
    <row r="285" spans="1:13">
      <c r="A285" s="20"/>
      <c r="B285" s="20"/>
      <c r="C285" s="20"/>
      <c r="D285" s="20"/>
      <c r="E285" s="20"/>
      <c r="F285" s="20"/>
      <c r="G285" s="20"/>
      <c r="H285" s="20"/>
      <c r="I285" s="20"/>
      <c r="J285" s="20"/>
      <c r="K285" s="20"/>
      <c r="L285" s="20"/>
      <c r="M285" s="20"/>
    </row>
    <row r="286" spans="1:13">
      <c r="A286" s="20"/>
      <c r="B286" s="20"/>
      <c r="C286" s="20"/>
      <c r="D286" s="20"/>
      <c r="E286" s="20"/>
      <c r="F286" s="20"/>
      <c r="G286" s="20"/>
      <c r="H286" s="20"/>
      <c r="I286" s="20"/>
      <c r="J286" s="20"/>
      <c r="K286" s="20"/>
      <c r="L286" s="20"/>
      <c r="M286" s="20"/>
    </row>
    <row r="287" spans="1:13">
      <c r="A287" s="20"/>
      <c r="B287" s="20"/>
      <c r="C287" s="20"/>
      <c r="D287" s="20"/>
      <c r="E287" s="20"/>
      <c r="F287" s="20"/>
      <c r="G287" s="20"/>
      <c r="H287" s="20"/>
      <c r="I287" s="20"/>
      <c r="J287" s="20"/>
      <c r="K287" s="20"/>
      <c r="L287" s="20"/>
      <c r="M287" s="20"/>
    </row>
    <row r="288" spans="1:13">
      <c r="A288" s="20"/>
      <c r="B288" s="20"/>
      <c r="C288" s="20"/>
      <c r="D288" s="20"/>
      <c r="E288" s="20"/>
      <c r="F288" s="20"/>
      <c r="G288" s="20"/>
      <c r="H288" s="20"/>
      <c r="I288" s="20"/>
      <c r="J288" s="20"/>
      <c r="K288" s="20"/>
      <c r="L288" s="20"/>
      <c r="M288" s="20"/>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workbookViewId="0"/>
  </sheetViews>
  <sheetFormatPr defaultColWidth="9.109375" defaultRowHeight="13.2"/>
  <cols>
    <col min="1" max="1" width="5.33203125" style="10" customWidth="1"/>
    <col min="2" max="2" width="37.109375" style="10" customWidth="1"/>
    <col min="3" max="3" width="9.109375" style="10"/>
    <col min="4" max="4" width="20.109375" style="10" customWidth="1"/>
    <col min="5" max="5" width="20" style="10" customWidth="1"/>
    <col min="6" max="16384" width="9.109375" style="10"/>
  </cols>
  <sheetData>
    <row r="1" spans="1:5">
      <c r="B1" s="11" t="s">
        <v>343</v>
      </c>
    </row>
    <row r="5" spans="1:5">
      <c r="B5" s="13" t="s">
        <v>172</v>
      </c>
      <c r="C5" s="13"/>
      <c r="D5" s="55" t="s">
        <v>326</v>
      </c>
      <c r="E5" s="55" t="s">
        <v>193</v>
      </c>
    </row>
    <row r="6" spans="1:5" ht="26.4">
      <c r="B6" s="13" t="s">
        <v>123</v>
      </c>
      <c r="C6" s="13"/>
      <c r="D6" s="81" t="s">
        <v>327</v>
      </c>
      <c r="E6" s="81" t="s">
        <v>328</v>
      </c>
    </row>
    <row r="7" spans="1:5">
      <c r="A7" s="10">
        <v>1</v>
      </c>
      <c r="B7" s="10" t="s">
        <v>329</v>
      </c>
    </row>
    <row r="8" spans="1:5">
      <c r="A8" s="10">
        <v>2</v>
      </c>
      <c r="B8" s="10" t="s">
        <v>330</v>
      </c>
    </row>
    <row r="9" spans="1:5">
      <c r="A9" s="10">
        <v>3</v>
      </c>
      <c r="B9" s="10" t="s">
        <v>197</v>
      </c>
      <c r="D9" s="43"/>
      <c r="E9" s="43"/>
    </row>
    <row r="10" spans="1:5">
      <c r="A10" s="10">
        <v>4</v>
      </c>
      <c r="B10" s="10" t="s">
        <v>331</v>
      </c>
      <c r="D10" s="43"/>
      <c r="E10" s="43"/>
    </row>
    <row r="11" spans="1:5">
      <c r="A11" s="10">
        <v>5</v>
      </c>
      <c r="B11" s="10" t="s">
        <v>332</v>
      </c>
      <c r="D11" s="43"/>
      <c r="E11" s="43"/>
    </row>
    <row r="12" spans="1:5">
      <c r="A12" s="10">
        <v>6</v>
      </c>
      <c r="B12" s="10" t="s">
        <v>333</v>
      </c>
      <c r="D12" s="43"/>
      <c r="E12" s="43"/>
    </row>
    <row r="13" spans="1:5">
      <c r="D13" s="43"/>
      <c r="E13" s="43"/>
    </row>
    <row r="14" spans="1:5">
      <c r="A14" s="10">
        <v>7</v>
      </c>
      <c r="B14" s="10" t="s">
        <v>334</v>
      </c>
      <c r="D14" s="43"/>
      <c r="E14" s="43"/>
    </row>
    <row r="15" spans="1:5">
      <c r="A15" s="10">
        <v>8</v>
      </c>
      <c r="B15" s="10" t="s">
        <v>335</v>
      </c>
      <c r="D15" s="43"/>
      <c r="E15" s="43"/>
    </row>
    <row r="16" spans="1:5">
      <c r="A16" s="10">
        <v>9</v>
      </c>
      <c r="B16" s="10" t="s">
        <v>197</v>
      </c>
      <c r="D16" s="43"/>
      <c r="E16" s="43"/>
    </row>
    <row r="17" spans="1:5">
      <c r="A17" s="10">
        <v>10</v>
      </c>
      <c r="B17" s="10" t="s">
        <v>331</v>
      </c>
      <c r="D17" s="43"/>
      <c r="E17" s="43"/>
    </row>
    <row r="18" spans="1:5">
      <c r="A18" s="10">
        <v>11</v>
      </c>
      <c r="B18" s="10" t="s">
        <v>332</v>
      </c>
      <c r="D18" s="43"/>
      <c r="E18" s="43"/>
    </row>
    <row r="19" spans="1:5">
      <c r="A19" s="10">
        <v>12</v>
      </c>
      <c r="B19" s="10" t="s">
        <v>333</v>
      </c>
      <c r="D19" s="43"/>
      <c r="E19" s="43"/>
    </row>
    <row r="20" spans="1:5">
      <c r="A20" s="10">
        <v>13</v>
      </c>
      <c r="B20" s="10" t="s">
        <v>336</v>
      </c>
      <c r="D20" s="43"/>
      <c r="E20" s="43"/>
    </row>
    <row r="21" spans="1:5">
      <c r="A21" s="10">
        <v>14</v>
      </c>
      <c r="B21" s="10" t="s">
        <v>337</v>
      </c>
      <c r="D21" s="43"/>
      <c r="E21" s="43"/>
    </row>
    <row r="22" spans="1:5">
      <c r="A22" s="10">
        <v>15</v>
      </c>
      <c r="B22" s="10" t="s">
        <v>338</v>
      </c>
      <c r="D22" s="43"/>
      <c r="E22" s="43"/>
    </row>
    <row r="23" spans="1:5">
      <c r="A23" s="10">
        <v>16</v>
      </c>
      <c r="B23" s="10" t="s">
        <v>339</v>
      </c>
      <c r="D23" s="43"/>
      <c r="E23" s="43"/>
    </row>
    <row r="24" spans="1:5">
      <c r="A24" s="10">
        <v>17</v>
      </c>
      <c r="B24" s="10" t="s">
        <v>340</v>
      </c>
      <c r="D24" s="43"/>
      <c r="E24" s="43"/>
    </row>
    <row r="25" spans="1:5">
      <c r="A25" s="10">
        <v>18</v>
      </c>
      <c r="B25" s="10" t="s">
        <v>341</v>
      </c>
      <c r="D25" s="43"/>
      <c r="E25" s="43"/>
    </row>
    <row r="26" spans="1:5">
      <c r="A26" s="10">
        <v>19</v>
      </c>
      <c r="B26" s="10" t="s">
        <v>342</v>
      </c>
      <c r="D26" s="43"/>
      <c r="E26" s="43"/>
    </row>
    <row r="27" spans="1:5">
      <c r="A27" s="10">
        <v>20</v>
      </c>
      <c r="B27" s="10" t="s">
        <v>209</v>
      </c>
      <c r="D27" s="43"/>
      <c r="E27" s="43"/>
    </row>
    <row r="28" spans="1:5">
      <c r="D28" s="43"/>
      <c r="E28" s="43"/>
    </row>
    <row r="29" spans="1:5">
      <c r="D29" s="43"/>
      <c r="E29" s="43"/>
    </row>
    <row r="30" spans="1:5">
      <c r="B30" s="13" t="s">
        <v>173</v>
      </c>
      <c r="C30" s="13"/>
      <c r="D30" s="45"/>
      <c r="E30" s="45"/>
    </row>
    <row r="31" spans="1:5" ht="26.4">
      <c r="B31" s="13" t="s">
        <v>123</v>
      </c>
      <c r="C31" s="13"/>
      <c r="D31" s="82" t="s">
        <v>327</v>
      </c>
      <c r="E31" s="82" t="s">
        <v>328</v>
      </c>
    </row>
    <row r="32" spans="1:5">
      <c r="A32" s="10">
        <v>1</v>
      </c>
      <c r="B32" s="10" t="s">
        <v>329</v>
      </c>
      <c r="D32" s="43"/>
      <c r="E32" s="43"/>
    </row>
    <row r="33" spans="1:5">
      <c r="A33" s="10">
        <v>2</v>
      </c>
      <c r="B33" s="10" t="s">
        <v>330</v>
      </c>
      <c r="D33" s="43"/>
      <c r="E33" s="43"/>
    </row>
    <row r="34" spans="1:5">
      <c r="A34" s="10">
        <v>3</v>
      </c>
      <c r="B34" s="10" t="s">
        <v>197</v>
      </c>
      <c r="D34" s="43"/>
      <c r="E34" s="43"/>
    </row>
    <row r="35" spans="1:5">
      <c r="A35" s="10">
        <v>4</v>
      </c>
      <c r="B35" s="10" t="s">
        <v>331</v>
      </c>
      <c r="D35" s="43"/>
      <c r="E35" s="43"/>
    </row>
    <row r="36" spans="1:5">
      <c r="A36" s="10">
        <v>5</v>
      </c>
      <c r="B36" s="10" t="s">
        <v>332</v>
      </c>
      <c r="D36" s="43"/>
      <c r="E36" s="43"/>
    </row>
    <row r="37" spans="1:5">
      <c r="A37" s="10">
        <v>6</v>
      </c>
      <c r="B37" s="10" t="s">
        <v>333</v>
      </c>
      <c r="D37" s="43"/>
      <c r="E37" s="43"/>
    </row>
    <row r="38" spans="1:5">
      <c r="B38" s="10" t="s">
        <v>342</v>
      </c>
      <c r="D38" s="43"/>
      <c r="E38" s="43"/>
    </row>
    <row r="39" spans="1:5">
      <c r="D39" s="43"/>
      <c r="E39" s="43"/>
    </row>
    <row r="40" spans="1:5">
      <c r="A40" s="10">
        <v>7</v>
      </c>
      <c r="B40" s="10" t="s">
        <v>334</v>
      </c>
      <c r="D40" s="43"/>
      <c r="E40" s="43"/>
    </row>
    <row r="41" spans="1:5">
      <c r="A41" s="10">
        <v>8</v>
      </c>
      <c r="B41" s="10" t="s">
        <v>335</v>
      </c>
      <c r="D41" s="43"/>
      <c r="E41" s="43"/>
    </row>
    <row r="42" spans="1:5">
      <c r="A42" s="10">
        <v>9</v>
      </c>
      <c r="B42" s="10" t="s">
        <v>197</v>
      </c>
      <c r="D42" s="43"/>
      <c r="E42" s="43"/>
    </row>
    <row r="43" spans="1:5">
      <c r="A43" s="10">
        <v>10</v>
      </c>
      <c r="B43" s="10" t="s">
        <v>331</v>
      </c>
      <c r="D43" s="43"/>
      <c r="E43" s="43"/>
    </row>
    <row r="44" spans="1:5">
      <c r="A44" s="10">
        <v>11</v>
      </c>
      <c r="B44" s="10" t="s">
        <v>332</v>
      </c>
      <c r="D44" s="43"/>
      <c r="E44" s="43"/>
    </row>
    <row r="45" spans="1:5">
      <c r="A45" s="10">
        <v>12</v>
      </c>
      <c r="B45" s="10" t="s">
        <v>333</v>
      </c>
      <c r="D45" s="43"/>
      <c r="E45" s="43"/>
    </row>
    <row r="46" spans="1:5">
      <c r="A46" s="10">
        <v>13</v>
      </c>
      <c r="B46" s="10" t="s">
        <v>336</v>
      </c>
      <c r="D46" s="43"/>
      <c r="E46" s="43"/>
    </row>
    <row r="47" spans="1:5">
      <c r="A47" s="10">
        <v>14</v>
      </c>
      <c r="B47" s="10" t="s">
        <v>337</v>
      </c>
      <c r="D47" s="43"/>
      <c r="E47" s="43"/>
    </row>
    <row r="48" spans="1:5">
      <c r="A48" s="10">
        <v>15</v>
      </c>
      <c r="B48" s="10" t="s">
        <v>338</v>
      </c>
      <c r="D48" s="43"/>
      <c r="E48" s="43"/>
    </row>
    <row r="49" spans="1:5">
      <c r="A49" s="10">
        <v>16</v>
      </c>
      <c r="B49" s="10" t="s">
        <v>339</v>
      </c>
      <c r="D49" s="43"/>
      <c r="E49" s="43"/>
    </row>
    <row r="50" spans="1:5">
      <c r="A50" s="10">
        <v>17</v>
      </c>
      <c r="B50" s="10" t="s">
        <v>340</v>
      </c>
      <c r="D50" s="43"/>
      <c r="E50" s="43"/>
    </row>
    <row r="51" spans="1:5">
      <c r="A51" s="10">
        <v>18</v>
      </c>
      <c r="B51" s="10" t="s">
        <v>341</v>
      </c>
      <c r="D51" s="43"/>
      <c r="E51" s="43"/>
    </row>
    <row r="52" spans="1:5">
      <c r="A52" s="10">
        <v>19</v>
      </c>
      <c r="B52" s="10" t="s">
        <v>342</v>
      </c>
      <c r="D52" s="43"/>
      <c r="E52" s="43"/>
    </row>
    <row r="53" spans="1:5">
      <c r="A53" s="10">
        <v>20</v>
      </c>
      <c r="B53" s="10" t="s">
        <v>209</v>
      </c>
      <c r="D53" s="43"/>
      <c r="E53" s="43"/>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heetViews>
  <sheetFormatPr defaultColWidth="9.109375" defaultRowHeight="13.2"/>
  <cols>
    <col min="1" max="1" width="4.5546875" style="10" customWidth="1"/>
    <col min="2" max="2" width="32.88671875" style="10" customWidth="1"/>
    <col min="3" max="3" width="14.33203125" style="10" customWidth="1"/>
    <col min="4" max="4" width="16.33203125" style="10" customWidth="1"/>
    <col min="5" max="16384" width="9.109375" style="10"/>
  </cols>
  <sheetData>
    <row r="1" spans="1:4">
      <c r="B1" s="11" t="s">
        <v>354</v>
      </c>
    </row>
    <row r="5" spans="1:4">
      <c r="C5" s="16" t="s">
        <v>192</v>
      </c>
      <c r="D5" s="16" t="s">
        <v>193</v>
      </c>
    </row>
    <row r="6" spans="1:4">
      <c r="B6" s="12" t="s">
        <v>123</v>
      </c>
      <c r="C6" s="12" t="s">
        <v>184</v>
      </c>
      <c r="D6" s="12" t="s">
        <v>344</v>
      </c>
    </row>
    <row r="7" spans="1:4">
      <c r="A7" s="10">
        <v>1</v>
      </c>
      <c r="B7" s="10" t="s">
        <v>345</v>
      </c>
      <c r="C7" s="43"/>
      <c r="D7" s="43"/>
    </row>
    <row r="8" spans="1:4">
      <c r="A8" s="10">
        <v>2</v>
      </c>
      <c r="B8" s="10" t="s">
        <v>346</v>
      </c>
      <c r="C8" s="43"/>
      <c r="D8" s="43"/>
    </row>
    <row r="9" spans="1:4">
      <c r="A9" s="10">
        <v>3</v>
      </c>
      <c r="B9" s="10" t="s">
        <v>347</v>
      </c>
      <c r="C9" s="43"/>
      <c r="D9" s="43"/>
    </row>
    <row r="10" spans="1:4">
      <c r="A10" s="10">
        <v>4</v>
      </c>
      <c r="B10" s="10" t="s">
        <v>348</v>
      </c>
      <c r="C10" s="43"/>
      <c r="D10" s="43"/>
    </row>
    <row r="11" spans="1:4">
      <c r="A11" s="10">
        <v>5</v>
      </c>
      <c r="B11" s="10" t="s">
        <v>349</v>
      </c>
      <c r="C11" s="43"/>
      <c r="D11" s="43"/>
    </row>
    <row r="12" spans="1:4">
      <c r="A12" s="10">
        <v>6</v>
      </c>
      <c r="B12" s="10" t="s">
        <v>350</v>
      </c>
      <c r="C12" s="43"/>
      <c r="D12" s="43"/>
    </row>
    <row r="13" spans="1:4">
      <c r="A13" s="10">
        <v>7</v>
      </c>
      <c r="B13" s="10" t="s">
        <v>351</v>
      </c>
      <c r="C13" s="43"/>
      <c r="D13" s="43"/>
    </row>
    <row r="14" spans="1:4">
      <c r="A14" s="10">
        <v>8</v>
      </c>
      <c r="B14" s="10" t="s">
        <v>107</v>
      </c>
      <c r="C14" s="43"/>
      <c r="D14" s="43"/>
    </row>
    <row r="15" spans="1:4">
      <c r="A15" s="10">
        <v>9</v>
      </c>
      <c r="B15" s="10" t="s">
        <v>352</v>
      </c>
      <c r="C15" s="43"/>
      <c r="D15" s="43"/>
    </row>
    <row r="16" spans="1:4">
      <c r="C16" s="43"/>
      <c r="D16" s="43"/>
    </row>
    <row r="17" spans="1:4">
      <c r="B17" s="12" t="s">
        <v>123</v>
      </c>
      <c r="C17" s="12" t="s">
        <v>184</v>
      </c>
      <c r="D17" s="12" t="s">
        <v>344</v>
      </c>
    </row>
    <row r="18" spans="1:4">
      <c r="A18" s="10">
        <v>1</v>
      </c>
      <c r="B18" s="10" t="s">
        <v>353</v>
      </c>
      <c r="C18" s="43"/>
      <c r="D18" s="43"/>
    </row>
    <row r="19" spans="1:4">
      <c r="A19" s="10">
        <v>2</v>
      </c>
      <c r="B19" s="10" t="s">
        <v>346</v>
      </c>
      <c r="C19" s="43"/>
      <c r="D19" s="43"/>
    </row>
    <row r="20" spans="1:4">
      <c r="A20" s="10">
        <v>3</v>
      </c>
      <c r="B20" s="10" t="s">
        <v>347</v>
      </c>
      <c r="C20" s="43"/>
      <c r="D20" s="43"/>
    </row>
    <row r="21" spans="1:4">
      <c r="A21" s="10">
        <v>4</v>
      </c>
      <c r="B21" s="10" t="s">
        <v>348</v>
      </c>
      <c r="C21" s="43"/>
      <c r="D21" s="43"/>
    </row>
    <row r="22" spans="1:4">
      <c r="A22" s="10">
        <v>5</v>
      </c>
      <c r="B22" s="10" t="s">
        <v>349</v>
      </c>
      <c r="C22" s="43"/>
      <c r="D22" s="43"/>
    </row>
    <row r="23" spans="1:4">
      <c r="A23" s="10">
        <v>6</v>
      </c>
      <c r="B23" s="10" t="s">
        <v>350</v>
      </c>
      <c r="C23" s="43"/>
      <c r="D23" s="43"/>
    </row>
    <row r="24" spans="1:4">
      <c r="A24" s="10">
        <v>7</v>
      </c>
      <c r="B24" s="10" t="s">
        <v>351</v>
      </c>
      <c r="C24" s="43"/>
      <c r="D24" s="43"/>
    </row>
    <row r="25" spans="1:4">
      <c r="A25" s="10">
        <v>8</v>
      </c>
      <c r="B25" s="10" t="s">
        <v>107</v>
      </c>
      <c r="C25" s="43"/>
      <c r="D25" s="43"/>
    </row>
    <row r="26" spans="1:4">
      <c r="A26" s="10">
        <v>9</v>
      </c>
      <c r="B26" s="10" t="s">
        <v>345</v>
      </c>
      <c r="C26" s="43"/>
      <c r="D26" s="43"/>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workbookViewId="0"/>
  </sheetViews>
  <sheetFormatPr defaultColWidth="9.109375" defaultRowHeight="13.2"/>
  <cols>
    <col min="1" max="1" width="24.44140625" style="10" customWidth="1"/>
    <col min="2" max="9" width="16.44140625" style="10" customWidth="1"/>
    <col min="10" max="16384" width="9.109375" style="10"/>
  </cols>
  <sheetData>
    <row r="1" spans="1:9">
      <c r="A1" s="11" t="s">
        <v>355</v>
      </c>
    </row>
    <row r="5" spans="1:9">
      <c r="A5" s="12" t="s">
        <v>192</v>
      </c>
      <c r="B5" s="12" t="s">
        <v>193</v>
      </c>
      <c r="C5" s="12" t="s">
        <v>212</v>
      </c>
      <c r="D5" s="12" t="s">
        <v>213</v>
      </c>
      <c r="E5" s="12" t="s">
        <v>214</v>
      </c>
      <c r="F5" s="12"/>
      <c r="G5" s="12" t="s">
        <v>215</v>
      </c>
      <c r="H5" s="12" t="s">
        <v>216</v>
      </c>
      <c r="I5" s="12" t="s">
        <v>278</v>
      </c>
    </row>
    <row r="6" spans="1:9" ht="15" customHeight="1">
      <c r="B6" s="304" t="s">
        <v>356</v>
      </c>
      <c r="C6" s="304"/>
      <c r="D6" s="304"/>
      <c r="E6" s="304"/>
      <c r="F6" s="304"/>
      <c r="G6" s="304"/>
      <c r="H6" s="304"/>
      <c r="I6" s="304"/>
    </row>
    <row r="7" spans="1:9" ht="39.6">
      <c r="A7" s="22" t="s">
        <v>357</v>
      </c>
      <c r="B7" s="22" t="s">
        <v>358</v>
      </c>
      <c r="C7" s="22" t="s">
        <v>359</v>
      </c>
      <c r="D7" s="22" t="s">
        <v>360</v>
      </c>
      <c r="E7" s="84">
        <v>2018</v>
      </c>
      <c r="F7" s="85">
        <v>2019</v>
      </c>
      <c r="G7" s="22" t="s">
        <v>361</v>
      </c>
      <c r="H7" s="22" t="s">
        <v>362</v>
      </c>
      <c r="I7" s="22" t="s">
        <v>363</v>
      </c>
    </row>
    <row r="8" spans="1:9">
      <c r="A8" s="10" t="s">
        <v>364</v>
      </c>
      <c r="B8" s="10" t="s">
        <v>293</v>
      </c>
      <c r="C8" s="58"/>
      <c r="D8" s="58"/>
      <c r="H8" s="58"/>
      <c r="I8" s="58"/>
    </row>
    <row r="9" spans="1:9">
      <c r="A9" s="10" t="s">
        <v>365</v>
      </c>
      <c r="B9" s="10" t="s">
        <v>294</v>
      </c>
      <c r="C9" s="58"/>
      <c r="D9" s="58"/>
      <c r="H9" s="58"/>
      <c r="I9" s="58"/>
    </row>
    <row r="10" spans="1:9">
      <c r="A10" s="10" t="s">
        <v>366</v>
      </c>
      <c r="B10" s="10" t="s">
        <v>295</v>
      </c>
      <c r="C10" s="58"/>
      <c r="D10" s="58"/>
      <c r="H10" s="58"/>
      <c r="I10" s="58"/>
    </row>
    <row r="11" spans="1:9">
      <c r="B11" s="10" t="s">
        <v>296</v>
      </c>
      <c r="C11" s="58"/>
      <c r="D11" s="58"/>
      <c r="H11" s="58"/>
      <c r="I11" s="58"/>
    </row>
    <row r="12" spans="1:9">
      <c r="B12" s="10" t="s">
        <v>297</v>
      </c>
      <c r="C12" s="58"/>
      <c r="D12" s="58"/>
      <c r="H12" s="58"/>
      <c r="I12" s="58"/>
    </row>
    <row r="13" spans="1:9">
      <c r="B13" s="10" t="s">
        <v>298</v>
      </c>
      <c r="C13" s="58"/>
      <c r="D13" s="58"/>
      <c r="H13" s="58"/>
      <c r="I13" s="58"/>
    </row>
    <row r="14" spans="1:9">
      <c r="B14" s="10" t="s">
        <v>299</v>
      </c>
      <c r="C14" s="58"/>
      <c r="D14" s="58"/>
      <c r="H14" s="58"/>
      <c r="I14" s="58"/>
    </row>
    <row r="15" spans="1:9">
      <c r="B15" s="10" t="s">
        <v>300</v>
      </c>
      <c r="C15" s="58"/>
      <c r="D15" s="58"/>
      <c r="H15" s="58"/>
      <c r="I15" s="58"/>
    </row>
    <row r="18" spans="1:9">
      <c r="A18" s="13" t="s">
        <v>192</v>
      </c>
      <c r="B18" s="13" t="s">
        <v>193</v>
      </c>
      <c r="C18" s="13" t="s">
        <v>212</v>
      </c>
      <c r="D18" s="13" t="s">
        <v>213</v>
      </c>
      <c r="E18" s="13" t="s">
        <v>214</v>
      </c>
      <c r="F18" s="13"/>
      <c r="G18" s="13" t="s">
        <v>215</v>
      </c>
      <c r="H18" s="13" t="s">
        <v>216</v>
      </c>
      <c r="I18" s="13" t="s">
        <v>278</v>
      </c>
    </row>
    <row r="19" spans="1:9" ht="15" customHeight="1">
      <c r="B19" s="305" t="s">
        <v>356</v>
      </c>
      <c r="C19" s="305"/>
      <c r="D19" s="305"/>
      <c r="E19" s="305"/>
      <c r="F19" s="305"/>
      <c r="G19" s="305"/>
      <c r="H19" s="305"/>
      <c r="I19" s="305"/>
    </row>
    <row r="20" spans="1:9" ht="39.6">
      <c r="A20" s="12" t="s">
        <v>357</v>
      </c>
      <c r="B20" s="22" t="s">
        <v>358</v>
      </c>
      <c r="C20" s="22" t="s">
        <v>359</v>
      </c>
      <c r="D20" s="22" t="s">
        <v>360</v>
      </c>
      <c r="E20" s="84">
        <v>2018</v>
      </c>
      <c r="F20" s="49">
        <v>2019</v>
      </c>
      <c r="G20" s="22" t="s">
        <v>361</v>
      </c>
      <c r="H20" s="22" t="s">
        <v>362</v>
      </c>
      <c r="I20" s="22" t="s">
        <v>363</v>
      </c>
    </row>
    <row r="21" spans="1:9">
      <c r="A21" s="10" t="s">
        <v>364</v>
      </c>
      <c r="B21" s="10" t="s">
        <v>293</v>
      </c>
      <c r="C21" s="58"/>
      <c r="D21" s="58"/>
      <c r="H21" s="58"/>
      <c r="I21" s="58"/>
    </row>
    <row r="22" spans="1:9">
      <c r="A22" s="10" t="s">
        <v>367</v>
      </c>
      <c r="B22" s="10" t="s">
        <v>294</v>
      </c>
      <c r="C22" s="58"/>
      <c r="D22" s="58"/>
      <c r="H22" s="58"/>
      <c r="I22" s="58"/>
    </row>
    <row r="23" spans="1:9">
      <c r="B23" s="10" t="s">
        <v>295</v>
      </c>
      <c r="C23" s="58"/>
      <c r="D23" s="58"/>
      <c r="H23" s="58"/>
      <c r="I23" s="58"/>
    </row>
    <row r="24" spans="1:9">
      <c r="B24" s="10" t="s">
        <v>296</v>
      </c>
      <c r="C24" s="58"/>
      <c r="D24" s="58"/>
      <c r="H24" s="58"/>
      <c r="I24" s="58"/>
    </row>
    <row r="25" spans="1:9">
      <c r="B25" s="10" t="s">
        <v>297</v>
      </c>
      <c r="C25" s="58"/>
      <c r="D25" s="58"/>
      <c r="H25" s="58"/>
      <c r="I25" s="58"/>
    </row>
    <row r="26" spans="1:9">
      <c r="B26" s="10" t="s">
        <v>298</v>
      </c>
      <c r="C26" s="58"/>
      <c r="D26" s="58"/>
      <c r="H26" s="58"/>
      <c r="I26" s="58"/>
    </row>
    <row r="27" spans="1:9">
      <c r="B27" s="10" t="s">
        <v>299</v>
      </c>
      <c r="C27" s="58"/>
      <c r="D27" s="58"/>
      <c r="H27" s="58"/>
      <c r="I27" s="58"/>
    </row>
    <row r="28" spans="1:9">
      <c r="B28" s="10" t="s">
        <v>300</v>
      </c>
      <c r="C28" s="58"/>
      <c r="D28" s="58"/>
      <c r="H28" s="58"/>
      <c r="I28" s="58"/>
    </row>
    <row r="31" spans="1:9">
      <c r="A31" s="13" t="s">
        <v>192</v>
      </c>
      <c r="B31" s="13" t="s">
        <v>193</v>
      </c>
      <c r="C31" s="13" t="s">
        <v>212</v>
      </c>
      <c r="D31" s="13" t="s">
        <v>213</v>
      </c>
      <c r="E31" s="13" t="s">
        <v>214</v>
      </c>
      <c r="F31" s="13"/>
      <c r="G31" s="13" t="s">
        <v>215</v>
      </c>
      <c r="H31" s="13" t="s">
        <v>216</v>
      </c>
      <c r="I31" s="13" t="s">
        <v>278</v>
      </c>
    </row>
    <row r="32" spans="1:9" ht="15" customHeight="1">
      <c r="B32" s="305" t="s">
        <v>356</v>
      </c>
      <c r="C32" s="305"/>
      <c r="D32" s="305"/>
      <c r="E32" s="305"/>
      <c r="F32" s="305"/>
      <c r="G32" s="305"/>
      <c r="H32" s="305"/>
      <c r="I32" s="305"/>
    </row>
    <row r="33" spans="1:9" ht="39.6">
      <c r="A33" s="12" t="s">
        <v>357</v>
      </c>
      <c r="B33" s="22" t="s">
        <v>358</v>
      </c>
      <c r="C33" s="22" t="s">
        <v>359</v>
      </c>
      <c r="D33" s="22" t="s">
        <v>360</v>
      </c>
      <c r="E33" s="84">
        <v>2018</v>
      </c>
      <c r="F33" s="49">
        <v>2019</v>
      </c>
      <c r="G33" s="22" t="s">
        <v>361</v>
      </c>
      <c r="H33" s="22" t="s">
        <v>362</v>
      </c>
      <c r="I33" s="22" t="s">
        <v>363</v>
      </c>
    </row>
    <row r="34" spans="1:9">
      <c r="A34" s="10" t="s">
        <v>368</v>
      </c>
      <c r="B34" s="10" t="s">
        <v>293</v>
      </c>
      <c r="C34" s="58"/>
      <c r="D34" s="58"/>
      <c r="H34" s="58"/>
      <c r="I34" s="58"/>
    </row>
    <row r="35" spans="1:9">
      <c r="B35" s="10" t="s">
        <v>294</v>
      </c>
      <c r="C35" s="58"/>
      <c r="D35" s="58"/>
      <c r="H35" s="58"/>
      <c r="I35" s="58"/>
    </row>
    <row r="36" spans="1:9">
      <c r="B36" s="10" t="s">
        <v>295</v>
      </c>
      <c r="C36" s="58"/>
      <c r="D36" s="58"/>
      <c r="H36" s="58"/>
      <c r="I36" s="58"/>
    </row>
    <row r="37" spans="1:9">
      <c r="B37" s="10" t="s">
        <v>296</v>
      </c>
      <c r="C37" s="58"/>
      <c r="D37" s="58"/>
      <c r="H37" s="58"/>
      <c r="I37" s="58"/>
    </row>
    <row r="38" spans="1:9">
      <c r="B38" s="10" t="s">
        <v>297</v>
      </c>
      <c r="C38" s="58"/>
      <c r="D38" s="58"/>
      <c r="H38" s="58"/>
      <c r="I38" s="58"/>
    </row>
    <row r="39" spans="1:9">
      <c r="B39" s="10" t="s">
        <v>298</v>
      </c>
      <c r="C39" s="58"/>
      <c r="D39" s="58"/>
      <c r="H39" s="58"/>
      <c r="I39" s="58"/>
    </row>
    <row r="40" spans="1:9">
      <c r="B40" s="10" t="s">
        <v>299</v>
      </c>
      <c r="C40" s="58"/>
      <c r="D40" s="58"/>
      <c r="H40" s="58"/>
      <c r="I40" s="58"/>
    </row>
    <row r="41" spans="1:9">
      <c r="B41" s="10" t="s">
        <v>300</v>
      </c>
      <c r="C41" s="58"/>
      <c r="D41" s="58"/>
      <c r="H41" s="58"/>
      <c r="I41" s="58"/>
    </row>
    <row r="54" spans="1:9">
      <c r="A54" s="10" t="s">
        <v>192</v>
      </c>
      <c r="B54" s="10" t="s">
        <v>193</v>
      </c>
      <c r="C54" s="10" t="s">
        <v>212</v>
      </c>
      <c r="D54" s="10" t="s">
        <v>213</v>
      </c>
      <c r="E54" s="10" t="s">
        <v>214</v>
      </c>
      <c r="G54" s="10" t="s">
        <v>215</v>
      </c>
      <c r="H54" s="10" t="s">
        <v>216</v>
      </c>
      <c r="I54" s="10" t="s">
        <v>278</v>
      </c>
    </row>
    <row r="55" spans="1:9">
      <c r="E55" s="10" t="s">
        <v>356</v>
      </c>
    </row>
    <row r="56" spans="1:9">
      <c r="A56" s="10" t="s">
        <v>357</v>
      </c>
      <c r="B56" s="10" t="s">
        <v>358</v>
      </c>
      <c r="C56" s="10" t="s">
        <v>359</v>
      </c>
      <c r="D56" s="10" t="s">
        <v>360</v>
      </c>
      <c r="E56" s="10">
        <v>2018</v>
      </c>
      <c r="F56" s="10">
        <v>2019</v>
      </c>
      <c r="G56" s="10" t="s">
        <v>361</v>
      </c>
      <c r="H56" s="10" t="s">
        <v>362</v>
      </c>
      <c r="I56" s="10" t="s">
        <v>363</v>
      </c>
    </row>
    <row r="57" spans="1:9">
      <c r="A57" s="10" t="s">
        <v>369</v>
      </c>
      <c r="B57" s="10" t="s">
        <v>293</v>
      </c>
    </row>
    <row r="58" spans="1:9">
      <c r="B58" s="10" t="s">
        <v>294</v>
      </c>
    </row>
    <row r="59" spans="1:9">
      <c r="B59" s="10" t="s">
        <v>295</v>
      </c>
    </row>
    <row r="60" spans="1:9">
      <c r="B60" s="10" t="s">
        <v>296</v>
      </c>
    </row>
    <row r="61" spans="1:9">
      <c r="B61" s="10" t="s">
        <v>297</v>
      </c>
    </row>
    <row r="62" spans="1:9">
      <c r="B62" s="10" t="s">
        <v>298</v>
      </c>
    </row>
    <row r="63" spans="1:9">
      <c r="B63" s="10" t="s">
        <v>299</v>
      </c>
    </row>
    <row r="64" spans="1:9">
      <c r="B64" s="10" t="s">
        <v>300</v>
      </c>
    </row>
    <row r="67" spans="1:9">
      <c r="A67" s="10" t="s">
        <v>192</v>
      </c>
      <c r="B67" s="10" t="s">
        <v>193</v>
      </c>
      <c r="C67" s="10" t="s">
        <v>212</v>
      </c>
      <c r="D67" s="10" t="s">
        <v>213</v>
      </c>
      <c r="E67" s="10" t="s">
        <v>214</v>
      </c>
      <c r="G67" s="10" t="s">
        <v>215</v>
      </c>
      <c r="H67" s="10" t="s">
        <v>216</v>
      </c>
      <c r="I67" s="10" t="s">
        <v>278</v>
      </c>
    </row>
    <row r="68" spans="1:9">
      <c r="E68" s="10" t="s">
        <v>356</v>
      </c>
    </row>
    <row r="69" spans="1:9">
      <c r="A69" s="10" t="s">
        <v>357</v>
      </c>
      <c r="B69" s="10" t="s">
        <v>358</v>
      </c>
      <c r="C69" s="10" t="s">
        <v>359</v>
      </c>
      <c r="D69" s="10" t="s">
        <v>360</v>
      </c>
      <c r="E69" s="10">
        <v>2018</v>
      </c>
      <c r="F69" s="10">
        <v>2019</v>
      </c>
      <c r="G69" s="10" t="s">
        <v>361</v>
      </c>
      <c r="H69" s="10" t="s">
        <v>362</v>
      </c>
      <c r="I69" s="10" t="s">
        <v>363</v>
      </c>
    </row>
    <row r="70" spans="1:9">
      <c r="A70" s="10" t="s">
        <v>370</v>
      </c>
      <c r="B70" s="10" t="s">
        <v>293</v>
      </c>
    </row>
    <row r="71" spans="1:9">
      <c r="B71" s="10" t="s">
        <v>294</v>
      </c>
    </row>
    <row r="72" spans="1:9">
      <c r="B72" s="10" t="s">
        <v>295</v>
      </c>
    </row>
    <row r="73" spans="1:9">
      <c r="B73" s="10" t="s">
        <v>296</v>
      </c>
    </row>
    <row r="74" spans="1:9">
      <c r="B74" s="10" t="s">
        <v>297</v>
      </c>
    </row>
    <row r="75" spans="1:9">
      <c r="B75" s="10" t="s">
        <v>298</v>
      </c>
    </row>
    <row r="76" spans="1:9">
      <c r="B76" s="10" t="s">
        <v>299</v>
      </c>
    </row>
    <row r="77" spans="1:9">
      <c r="B77" s="10" t="s">
        <v>300</v>
      </c>
    </row>
    <row r="78" spans="1:9">
      <c r="A78" s="10" t="s">
        <v>371</v>
      </c>
    </row>
  </sheetData>
  <mergeCells count="3">
    <mergeCell ref="B6:I6"/>
    <mergeCell ref="B19:I19"/>
    <mergeCell ref="B32:I3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workbookViewId="0">
      <selection activeCell="K21" sqref="K21"/>
    </sheetView>
  </sheetViews>
  <sheetFormatPr defaultColWidth="9.109375" defaultRowHeight="13.2"/>
  <cols>
    <col min="1" max="1" width="47" style="10" customWidth="1"/>
    <col min="2" max="2" width="12.109375" style="10" customWidth="1"/>
    <col min="3" max="5" width="11.88671875" style="10" customWidth="1"/>
    <col min="6" max="6" width="14.33203125" style="10" customWidth="1"/>
    <col min="7" max="16384" width="9.109375" style="10"/>
  </cols>
  <sheetData>
    <row r="1" spans="1:6">
      <c r="A1" s="11" t="s">
        <v>379</v>
      </c>
    </row>
    <row r="5" spans="1:6">
      <c r="A5" s="13" t="s">
        <v>1447</v>
      </c>
      <c r="B5" s="13"/>
      <c r="C5" s="13"/>
      <c r="D5" s="13"/>
      <c r="E5" s="13"/>
      <c r="F5" s="13"/>
    </row>
    <row r="6" spans="1:6" ht="26.4">
      <c r="A6" s="13" t="s">
        <v>123</v>
      </c>
      <c r="B6" s="49" t="s">
        <v>282</v>
      </c>
      <c r="C6" s="49" t="s">
        <v>372</v>
      </c>
      <c r="D6" s="49" t="s">
        <v>373</v>
      </c>
      <c r="E6" s="49" t="s">
        <v>1443</v>
      </c>
      <c r="F6" s="49" t="s">
        <v>374</v>
      </c>
    </row>
    <row r="7" spans="1:6">
      <c r="A7" s="10" t="s">
        <v>377</v>
      </c>
      <c r="B7" s="43"/>
      <c r="C7" s="43"/>
      <c r="D7" s="43"/>
      <c r="E7" s="43"/>
      <c r="F7" s="43"/>
    </row>
    <row r="8" spans="1:6">
      <c r="A8" s="10" t="s">
        <v>335</v>
      </c>
      <c r="B8" s="43">
        <v>1353787.7612999999</v>
      </c>
      <c r="C8" s="43">
        <v>1353754.1091</v>
      </c>
      <c r="D8" s="39">
        <v>2.1692E-4</v>
      </c>
      <c r="E8" s="43">
        <v>920.48752999999999</v>
      </c>
      <c r="F8" s="43">
        <f>0.08*E8</f>
        <v>73.639002399999995</v>
      </c>
    </row>
    <row r="9" spans="1:6">
      <c r="A9" s="10" t="s">
        <v>378</v>
      </c>
      <c r="B9" s="43">
        <v>19.806930000000001</v>
      </c>
      <c r="C9" s="43">
        <v>19.803909999999998</v>
      </c>
      <c r="D9" s="39">
        <v>0.2</v>
      </c>
      <c r="E9" s="43">
        <v>3.9607800000000002</v>
      </c>
      <c r="F9" s="43">
        <f t="shared" ref="F9:F19" si="0">0.08*E9</f>
        <v>0.31686240000000004</v>
      </c>
    </row>
    <row r="10" spans="1:6">
      <c r="A10" s="10" t="s">
        <v>203</v>
      </c>
      <c r="B10" s="43">
        <v>9.9989599999999985</v>
      </c>
      <c r="C10" s="43">
        <v>9.9974500000000006</v>
      </c>
      <c r="D10" s="39">
        <v>0.2</v>
      </c>
      <c r="E10" s="43">
        <v>1.99949</v>
      </c>
      <c r="F10" s="43">
        <f t="shared" si="0"/>
        <v>0.1599592</v>
      </c>
    </row>
    <row r="11" spans="1:6">
      <c r="A11" s="10" t="s">
        <v>265</v>
      </c>
      <c r="B11" s="43">
        <v>1788.2578700000001</v>
      </c>
      <c r="C11" s="43">
        <v>1788.2578700000001</v>
      </c>
      <c r="D11" s="39">
        <v>0</v>
      </c>
      <c r="E11" s="43">
        <v>0</v>
      </c>
      <c r="F11" s="43">
        <f t="shared" si="0"/>
        <v>0</v>
      </c>
    </row>
    <row r="12" spans="1:6">
      <c r="A12" s="10" t="s">
        <v>197</v>
      </c>
      <c r="B12" s="43">
        <v>30283.373379999997</v>
      </c>
      <c r="C12" s="43">
        <v>30283.359780000003</v>
      </c>
      <c r="D12" s="39">
        <v>0.20222222000000001</v>
      </c>
      <c r="E12" s="43">
        <v>4183.3308100000004</v>
      </c>
      <c r="F12" s="43">
        <f t="shared" si="0"/>
        <v>334.66646480000003</v>
      </c>
    </row>
    <row r="13" spans="1:6">
      <c r="A13" s="10" t="s">
        <v>267</v>
      </c>
      <c r="B13" s="43">
        <v>1048638.9285599999</v>
      </c>
      <c r="C13" s="43">
        <v>1044608.56166</v>
      </c>
      <c r="D13" s="39">
        <v>1</v>
      </c>
      <c r="E13" s="43">
        <v>819176.92263000004</v>
      </c>
      <c r="F13" s="43">
        <f t="shared" si="0"/>
        <v>65534.153810400006</v>
      </c>
    </row>
    <row r="14" spans="1:6">
      <c r="A14" s="10" t="s">
        <v>198</v>
      </c>
      <c r="B14" s="43">
        <v>330464.59188000002</v>
      </c>
      <c r="C14" s="43">
        <v>328995.01668</v>
      </c>
      <c r="D14" s="39">
        <v>0.75</v>
      </c>
      <c r="E14" s="43">
        <v>167111.54069999998</v>
      </c>
      <c r="F14" s="43">
        <f t="shared" si="0"/>
        <v>13368.923255999998</v>
      </c>
    </row>
    <row r="15" spans="1:6">
      <c r="A15" s="10" t="s">
        <v>204</v>
      </c>
      <c r="B15" s="43">
        <v>601157.01561</v>
      </c>
      <c r="C15" s="43">
        <v>600469.90552999999</v>
      </c>
      <c r="D15" s="39">
        <v>0.35</v>
      </c>
      <c r="E15" s="43">
        <v>208696.45116</v>
      </c>
      <c r="F15" s="43">
        <f t="shared" si="0"/>
        <v>16695.716092800001</v>
      </c>
    </row>
    <row r="16" spans="1:6">
      <c r="A16" s="10" t="s">
        <v>205</v>
      </c>
      <c r="B16" s="43">
        <v>4144.83914</v>
      </c>
      <c r="C16" s="43">
        <v>3782.8096800000003</v>
      </c>
      <c r="D16" s="39">
        <v>1.2030099999999999</v>
      </c>
      <c r="E16" s="43">
        <v>5386.7758099999992</v>
      </c>
      <c r="F16" s="43">
        <f t="shared" si="0"/>
        <v>430.94206479999997</v>
      </c>
    </row>
    <row r="17" spans="1:6">
      <c r="A17" s="10" t="s">
        <v>269</v>
      </c>
      <c r="B17" s="43">
        <v>8131.5129500000003</v>
      </c>
      <c r="C17" s="43">
        <v>8131.5129500000003</v>
      </c>
      <c r="D17" s="39">
        <v>0.2</v>
      </c>
      <c r="E17" s="43">
        <v>8051.5129500000003</v>
      </c>
      <c r="F17" s="43">
        <f t="shared" si="0"/>
        <v>644.121036</v>
      </c>
    </row>
    <row r="18" spans="1:6">
      <c r="A18" s="10" t="s">
        <v>107</v>
      </c>
      <c r="B18" s="43">
        <v>31811.69254</v>
      </c>
      <c r="C18" s="43">
        <v>31811.69254</v>
      </c>
      <c r="D18" s="39">
        <v>0.88800000000000001</v>
      </c>
      <c r="E18" s="43">
        <v>17801.181379999998</v>
      </c>
      <c r="F18" s="43">
        <f t="shared" si="0"/>
        <v>1424.0945104</v>
      </c>
    </row>
    <row r="19" spans="1:6">
      <c r="A19" s="10" t="s">
        <v>209</v>
      </c>
      <c r="B19" s="43">
        <v>3410237.7791200001</v>
      </c>
      <c r="C19" s="43">
        <v>3403655.02715</v>
      </c>
      <c r="D19" s="39">
        <v>0.69830000000000003</v>
      </c>
      <c r="E19" s="43">
        <v>1231334.1632399999</v>
      </c>
      <c r="F19" s="43">
        <f t="shared" si="0"/>
        <v>98506.733059199993</v>
      </c>
    </row>
    <row r="24" spans="1:6">
      <c r="A24" s="13" t="s">
        <v>1448</v>
      </c>
      <c r="B24" s="49"/>
      <c r="C24" s="49"/>
      <c r="D24" s="49"/>
      <c r="E24" s="49"/>
      <c r="F24" s="49"/>
    </row>
    <row r="25" spans="1:6" ht="26.4">
      <c r="A25" s="13" t="s">
        <v>123</v>
      </c>
      <c r="B25" s="49" t="s">
        <v>282</v>
      </c>
      <c r="C25" s="49" t="s">
        <v>372</v>
      </c>
      <c r="D25" s="49" t="s">
        <v>373</v>
      </c>
      <c r="E25" s="49" t="s">
        <v>1443</v>
      </c>
      <c r="F25" s="49" t="s">
        <v>374</v>
      </c>
    </row>
    <row r="26" spans="1:6">
      <c r="A26" s="10" t="s">
        <v>377</v>
      </c>
      <c r="B26" s="43"/>
      <c r="C26" s="43"/>
      <c r="D26" s="43"/>
      <c r="E26" s="43"/>
      <c r="F26" s="43"/>
    </row>
    <row r="27" spans="1:6">
      <c r="A27" s="10" t="s">
        <v>335</v>
      </c>
      <c r="B27" s="43">
        <v>659472.20722999994</v>
      </c>
      <c r="C27" s="43">
        <v>659472.0892899998</v>
      </c>
      <c r="D27" s="39">
        <v>6.9200000000000002E-5</v>
      </c>
      <c r="E27" s="43">
        <v>938.62506000000008</v>
      </c>
      <c r="F27" s="43">
        <f>0.08*E27</f>
        <v>75.090004800000003</v>
      </c>
    </row>
    <row r="28" spans="1:6">
      <c r="A28" s="10" t="s">
        <v>378</v>
      </c>
      <c r="B28" s="43">
        <v>29.4437</v>
      </c>
      <c r="C28" s="43">
        <v>29.43675</v>
      </c>
      <c r="D28" s="39">
        <v>0.2</v>
      </c>
      <c r="E28" s="43">
        <v>5.8873500000000005</v>
      </c>
      <c r="F28" s="43">
        <f t="shared" ref="F28:F38" si="1">0.08*E28</f>
        <v>0.47098800000000007</v>
      </c>
    </row>
    <row r="29" spans="1:6">
      <c r="A29" s="10" t="s">
        <v>203</v>
      </c>
      <c r="B29" s="43">
        <v>623.87461000000008</v>
      </c>
      <c r="C29" s="43">
        <v>622.81982000000005</v>
      </c>
      <c r="D29" s="39">
        <v>0.2</v>
      </c>
      <c r="E29" s="43">
        <v>124.56397</v>
      </c>
      <c r="F29" s="43">
        <f t="shared" si="1"/>
        <v>9.9651175999999992</v>
      </c>
    </row>
    <row r="30" spans="1:6">
      <c r="A30" s="10" t="s">
        <v>265</v>
      </c>
      <c r="B30" s="43">
        <v>18439.06223</v>
      </c>
      <c r="C30" s="43">
        <v>18439.06223</v>
      </c>
      <c r="D30" s="39">
        <v>0</v>
      </c>
      <c r="E30" s="43">
        <v>0</v>
      </c>
      <c r="F30" s="43">
        <f t="shared" si="1"/>
        <v>0</v>
      </c>
    </row>
    <row r="31" spans="1:6">
      <c r="A31" s="10" t="s">
        <v>197</v>
      </c>
      <c r="B31" s="43">
        <v>26177.775580000001</v>
      </c>
      <c r="C31" s="43">
        <v>26177.499050000002</v>
      </c>
      <c r="D31" s="39">
        <v>0.20236000000000001</v>
      </c>
      <c r="E31" s="43">
        <v>5375.7352759999994</v>
      </c>
      <c r="F31" s="43">
        <f t="shared" si="1"/>
        <v>430.05882207999997</v>
      </c>
    </row>
    <row r="32" spans="1:6">
      <c r="A32" s="10" t="s">
        <v>267</v>
      </c>
      <c r="B32" s="43">
        <v>755303.72076000122</v>
      </c>
      <c r="C32" s="43">
        <v>751843.33221000119</v>
      </c>
      <c r="D32" s="39">
        <v>1</v>
      </c>
      <c r="E32" s="43">
        <v>579836.55114500003</v>
      </c>
      <c r="F32" s="43">
        <f t="shared" si="1"/>
        <v>46386.924091600005</v>
      </c>
    </row>
    <row r="33" spans="1:6">
      <c r="A33" s="10" t="s">
        <v>198</v>
      </c>
      <c r="B33" s="43">
        <v>238609.28042000072</v>
      </c>
      <c r="C33" s="43">
        <v>237259.22614000065</v>
      </c>
      <c r="D33" s="39">
        <v>0.75</v>
      </c>
      <c r="E33" s="43">
        <v>133249.79728500001</v>
      </c>
      <c r="F33" s="43">
        <f t="shared" si="1"/>
        <v>10659.9837828</v>
      </c>
    </row>
    <row r="34" spans="1:6">
      <c r="A34" s="10" t="s">
        <v>204</v>
      </c>
      <c r="B34" s="43">
        <v>115167.05764999992</v>
      </c>
      <c r="C34" s="43">
        <v>115143.53326999993</v>
      </c>
      <c r="D34" s="39">
        <v>0.35</v>
      </c>
      <c r="E34" s="43">
        <v>39902.882990000006</v>
      </c>
      <c r="F34" s="43">
        <f t="shared" si="1"/>
        <v>3192.2306392000005</v>
      </c>
    </row>
    <row r="35" spans="1:6">
      <c r="A35" s="10" t="s">
        <v>205</v>
      </c>
      <c r="B35" s="43">
        <v>14790.47846</v>
      </c>
      <c r="C35" s="43">
        <v>8707.1834000000017</v>
      </c>
      <c r="D35" s="39">
        <v>1.0592999999999999</v>
      </c>
      <c r="E35" s="43">
        <v>9835.4651699999995</v>
      </c>
      <c r="F35" s="43">
        <f t="shared" si="1"/>
        <v>786.83721359999993</v>
      </c>
    </row>
    <row r="36" spans="1:6">
      <c r="A36" s="10" t="s">
        <v>269</v>
      </c>
      <c r="B36" s="43">
        <v>8042.652399999999</v>
      </c>
      <c r="C36" s="43">
        <v>8042.652399999999</v>
      </c>
      <c r="D36" s="39">
        <v>0.2</v>
      </c>
      <c r="E36" s="43">
        <v>7962.6523999999999</v>
      </c>
      <c r="F36" s="43">
        <f t="shared" si="1"/>
        <v>637.01219200000003</v>
      </c>
    </row>
    <row r="37" spans="1:6">
      <c r="A37" s="10" t="s">
        <v>107</v>
      </c>
      <c r="B37" s="43">
        <v>15084.299550000002</v>
      </c>
      <c r="C37" s="43">
        <v>15084.299550000002</v>
      </c>
      <c r="D37" s="39">
        <v>0.87075999999999998</v>
      </c>
      <c r="E37" s="43">
        <v>10551.12297</v>
      </c>
      <c r="F37" s="43">
        <f t="shared" si="1"/>
        <v>844.08983760000001</v>
      </c>
    </row>
    <row r="38" spans="1:6">
      <c r="A38" s="10" t="s">
        <v>209</v>
      </c>
      <c r="B38" s="43">
        <v>1851739.8525900021</v>
      </c>
      <c r="C38" s="43">
        <v>1840821.1341100016</v>
      </c>
      <c r="D38" s="39">
        <v>0.74690000000000001</v>
      </c>
      <c r="E38" s="43">
        <v>787783.28361600009</v>
      </c>
      <c r="F38" s="43">
        <f t="shared" si="1"/>
        <v>63022.662689280005</v>
      </c>
    </row>
    <row r="52" spans="2:6">
      <c r="B52" s="43"/>
      <c r="C52" s="43"/>
      <c r="D52" s="43"/>
      <c r="E52" s="43"/>
      <c r="F52" s="43"/>
    </row>
    <row r="53" spans="2:6">
      <c r="B53" s="43"/>
      <c r="C53" s="43"/>
      <c r="D53" s="43"/>
      <c r="E53" s="43"/>
      <c r="F53" s="43"/>
    </row>
    <row r="54" spans="2:6">
      <c r="B54" s="43"/>
      <c r="C54" s="43"/>
      <c r="D54" s="43"/>
      <c r="E54" s="43"/>
      <c r="F54" s="43"/>
    </row>
    <row r="55" spans="2:6">
      <c r="B55" s="43"/>
      <c r="C55" s="43"/>
      <c r="D55" s="43"/>
      <c r="E55" s="43"/>
      <c r="F55" s="43"/>
    </row>
    <row r="56" spans="2:6">
      <c r="B56" s="43"/>
      <c r="C56" s="43"/>
      <c r="D56" s="43"/>
      <c r="E56" s="43"/>
      <c r="F56" s="43"/>
    </row>
    <row r="57" spans="2:6">
      <c r="B57" s="43"/>
      <c r="C57" s="43"/>
      <c r="D57" s="43"/>
      <c r="E57" s="43"/>
      <c r="F57" s="43"/>
    </row>
    <row r="58" spans="2:6">
      <c r="B58" s="43"/>
      <c r="C58" s="43"/>
      <c r="D58" s="43"/>
      <c r="E58" s="43"/>
      <c r="F58" s="4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heetViews>
  <sheetFormatPr defaultColWidth="9.109375" defaultRowHeight="13.2"/>
  <cols>
    <col min="1" max="16384" width="9.109375" style="10"/>
  </cols>
  <sheetData>
    <row r="1" spans="1:9">
      <c r="A1" s="11" t="s">
        <v>26</v>
      </c>
      <c r="B1" s="11"/>
      <c r="C1" s="11"/>
      <c r="D1" s="11"/>
      <c r="E1" s="11"/>
      <c r="F1" s="11"/>
      <c r="G1" s="11"/>
      <c r="H1" s="11"/>
      <c r="I1" s="15" t="s">
        <v>121</v>
      </c>
    </row>
    <row r="3" spans="1:9">
      <c r="A3" s="10" t="s">
        <v>27</v>
      </c>
      <c r="I3" s="10">
        <v>1</v>
      </c>
    </row>
    <row r="4" spans="1:9">
      <c r="A4" s="10" t="s">
        <v>28</v>
      </c>
      <c r="I4" s="10">
        <v>2</v>
      </c>
    </row>
    <row r="5" spans="1:9">
      <c r="A5" s="10" t="s">
        <v>29</v>
      </c>
      <c r="I5" s="10">
        <v>3</v>
      </c>
    </row>
    <row r="6" spans="1:9">
      <c r="A6" s="10" t="s">
        <v>30</v>
      </c>
      <c r="I6" s="10">
        <v>4</v>
      </c>
    </row>
    <row r="7" spans="1:9">
      <c r="A7" s="10" t="s">
        <v>31</v>
      </c>
      <c r="I7" s="10">
        <v>5</v>
      </c>
    </row>
    <row r="8" spans="1:9">
      <c r="A8" s="10" t="s">
        <v>32</v>
      </c>
      <c r="I8" s="10">
        <v>6</v>
      </c>
    </row>
    <row r="9" spans="1:9">
      <c r="A9" s="10" t="s">
        <v>33</v>
      </c>
      <c r="I9" s="10">
        <v>7</v>
      </c>
    </row>
  </sheetData>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D21" sqref="D21"/>
    </sheetView>
  </sheetViews>
  <sheetFormatPr defaultColWidth="9.109375" defaultRowHeight="13.2"/>
  <cols>
    <col min="1" max="16384" width="9.109375" style="10"/>
  </cols>
  <sheetData>
    <row r="1" spans="1:6">
      <c r="A1" s="11" t="s">
        <v>390</v>
      </c>
    </row>
    <row r="5" spans="1:6">
      <c r="A5" s="12"/>
      <c r="B5" s="12"/>
      <c r="C5" s="12"/>
      <c r="D5" s="12"/>
      <c r="E5" s="12">
        <v>2019</v>
      </c>
      <c r="F5" s="12">
        <v>2018</v>
      </c>
    </row>
    <row r="6" spans="1:6">
      <c r="A6" s="10" t="s">
        <v>386</v>
      </c>
      <c r="E6" s="57">
        <v>0.05</v>
      </c>
      <c r="F6" s="57">
        <v>0.04</v>
      </c>
    </row>
    <row r="7" spans="1:6">
      <c r="A7" s="10" t="s">
        <v>387</v>
      </c>
      <c r="E7" s="57">
        <v>0.09</v>
      </c>
      <c r="F7" s="57">
        <v>0.09</v>
      </c>
    </row>
    <row r="8" spans="1:6">
      <c r="A8" s="10" t="s">
        <v>388</v>
      </c>
      <c r="E8" s="57">
        <v>0.45</v>
      </c>
      <c r="F8" s="57">
        <v>0.43</v>
      </c>
    </row>
    <row r="9" spans="1:6">
      <c r="A9" s="10" t="s">
        <v>389</v>
      </c>
      <c r="E9" s="57">
        <v>0.22</v>
      </c>
      <c r="F9" s="57">
        <v>0.26</v>
      </c>
    </row>
    <row r="10" spans="1:6">
      <c r="A10" s="10" t="s">
        <v>604</v>
      </c>
      <c r="E10" s="57">
        <v>0.19</v>
      </c>
      <c r="F10" s="57">
        <v>0.18</v>
      </c>
    </row>
    <row r="11" spans="1:6">
      <c r="A11" s="10" t="s">
        <v>209</v>
      </c>
      <c r="E11" s="57">
        <f>SUM(E6:E10)</f>
        <v>1</v>
      </c>
      <c r="F11" s="57">
        <f>SUM(F6:F10)</f>
        <v>1</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workbookViewId="0">
      <selection activeCell="D10" sqref="D10"/>
    </sheetView>
  </sheetViews>
  <sheetFormatPr defaultColWidth="9.109375" defaultRowHeight="13.2"/>
  <cols>
    <col min="1" max="1" width="40.88671875" style="10" customWidth="1"/>
    <col min="2" max="2" width="31.33203125" style="10" bestFit="1" customWidth="1"/>
    <col min="3" max="3" width="8.88671875" style="10" bestFit="1" customWidth="1"/>
    <col min="4" max="4" width="18.33203125" style="10" customWidth="1"/>
    <col min="5" max="16384" width="9.109375" style="10"/>
  </cols>
  <sheetData>
    <row r="1" spans="1:5">
      <c r="A1" s="11" t="s">
        <v>1478</v>
      </c>
      <c r="B1" s="11"/>
    </row>
    <row r="5" spans="1:5" ht="26.4">
      <c r="A5" s="12" t="s">
        <v>1479</v>
      </c>
      <c r="B5" s="12" t="s">
        <v>1480</v>
      </c>
      <c r="C5" s="22" t="s">
        <v>1481</v>
      </c>
      <c r="D5" s="22" t="s">
        <v>1482</v>
      </c>
      <c r="E5" s="12"/>
    </row>
    <row r="6" spans="1:5">
      <c r="A6" s="10" t="s">
        <v>392</v>
      </c>
      <c r="B6" s="215"/>
      <c r="C6" s="215">
        <v>0</v>
      </c>
      <c r="D6" s="43">
        <f>IF(C6=0,0,C6/B6)</f>
        <v>0</v>
      </c>
    </row>
    <row r="7" spans="1:5">
      <c r="A7" s="10" t="s">
        <v>393</v>
      </c>
      <c r="B7" s="215"/>
      <c r="C7" s="215">
        <v>0</v>
      </c>
      <c r="D7" s="43">
        <f t="shared" ref="D7:D8" si="0">IF(C7=0,0,C7/B7)</f>
        <v>0</v>
      </c>
    </row>
    <row r="8" spans="1:5">
      <c r="A8" s="10" t="s">
        <v>394</v>
      </c>
      <c r="B8" s="215"/>
      <c r="C8" s="215">
        <v>0</v>
      </c>
      <c r="D8" s="43">
        <f t="shared" si="0"/>
        <v>0</v>
      </c>
    </row>
    <row r="9" spans="1:5">
      <c r="B9" s="215"/>
      <c r="C9" s="215"/>
      <c r="D9" s="43"/>
    </row>
    <row r="10" spans="1:5">
      <c r="A10" s="10" t="s">
        <v>395</v>
      </c>
      <c r="B10" s="215">
        <f>B11+B21+B24</f>
        <v>1617.249299679971</v>
      </c>
      <c r="C10" s="215">
        <f>C11+C21+C24</f>
        <v>-15000.011090000004</v>
      </c>
      <c r="D10" s="43">
        <f t="shared" ref="D10:D25" si="1">IF(C10=0,0,C10/B10)</f>
        <v>-9.275014738277072</v>
      </c>
    </row>
    <row r="11" spans="1:5">
      <c r="A11" s="10" t="s">
        <v>396</v>
      </c>
      <c r="B11" s="215">
        <f>SUM(B12:B20)</f>
        <v>882.65997918467781</v>
      </c>
      <c r="C11" s="215">
        <f>SUM(C12:C20)</f>
        <v>-13932.840040000003</v>
      </c>
      <c r="D11" s="43">
        <f t="shared" si="1"/>
        <v>-15.785059217106356</v>
      </c>
    </row>
    <row r="12" spans="1:5">
      <c r="A12" s="10" t="s">
        <v>1483</v>
      </c>
      <c r="B12" s="215">
        <v>67.063727620270228</v>
      </c>
      <c r="C12" s="215">
        <v>-9.4568500000000011</v>
      </c>
      <c r="D12" s="43">
        <f t="shared" si="1"/>
        <v>-0.1410128893154701</v>
      </c>
    </row>
    <row r="13" spans="1:5">
      <c r="A13" s="10" t="s">
        <v>1484</v>
      </c>
      <c r="B13" s="215">
        <v>59.657475982988515</v>
      </c>
      <c r="C13" s="215">
        <v>-30.934840000000001</v>
      </c>
      <c r="D13" s="43">
        <f t="shared" si="1"/>
        <v>-0.51854087841096652</v>
      </c>
    </row>
    <row r="14" spans="1:5">
      <c r="A14" s="10" t="s">
        <v>225</v>
      </c>
      <c r="B14" s="215">
        <v>38.950623770579838</v>
      </c>
      <c r="C14" s="215">
        <v>-96.476909999999975</v>
      </c>
      <c r="D14" s="43">
        <f>IF(C14=0,0,C14/B14)</f>
        <v>-2.4769028236428619</v>
      </c>
    </row>
    <row r="15" spans="1:5">
      <c r="A15" s="10" t="s">
        <v>1485</v>
      </c>
      <c r="B15" s="215">
        <v>7.0179607779276871</v>
      </c>
      <c r="C15" s="215">
        <v>-3.62296</v>
      </c>
      <c r="D15" s="43">
        <f>IF(C15=0,0,C15/B15)</f>
        <v>-0.51624112967325719</v>
      </c>
    </row>
    <row r="16" spans="1:5">
      <c r="A16" s="10" t="s">
        <v>1486</v>
      </c>
      <c r="B16" s="215">
        <v>114.10440002541267</v>
      </c>
      <c r="C16" s="215">
        <v>-13649.594650000001</v>
      </c>
      <c r="D16" s="43">
        <f t="shared" si="1"/>
        <v>-119.62373621841088</v>
      </c>
    </row>
    <row r="17" spans="1:4">
      <c r="A17" s="10" t="s">
        <v>1487</v>
      </c>
      <c r="B17" s="215">
        <v>47.368141314329669</v>
      </c>
      <c r="C17" s="215">
        <v>-65.553049999999999</v>
      </c>
      <c r="D17" s="43">
        <f t="shared" si="1"/>
        <v>-1.3839058949980181</v>
      </c>
    </row>
    <row r="18" spans="1:4">
      <c r="A18" s="10" t="s">
        <v>1488</v>
      </c>
      <c r="B18" s="215">
        <v>15.336609129822264</v>
      </c>
      <c r="C18" s="215">
        <v>-46.018129999999999</v>
      </c>
      <c r="D18" s="43">
        <f t="shared" si="1"/>
        <v>-3.0005413589446617</v>
      </c>
    </row>
    <row r="19" spans="1:4">
      <c r="A19" s="10" t="s">
        <v>1489</v>
      </c>
      <c r="B19" s="215">
        <v>80.766737242176376</v>
      </c>
      <c r="C19" s="215">
        <v>-31.182650000000002</v>
      </c>
      <c r="D19" s="43">
        <f t="shared" si="1"/>
        <v>-0.38608282400339961</v>
      </c>
    </row>
    <row r="20" spans="1:4">
      <c r="A20" s="10" t="s">
        <v>107</v>
      </c>
      <c r="B20" s="215">
        <f>'11'!B28-SUM(B12:B19)</f>
        <v>452.39430332117058</v>
      </c>
      <c r="C20" s="215">
        <v>0</v>
      </c>
      <c r="D20" s="43">
        <f t="shared" si="1"/>
        <v>0</v>
      </c>
    </row>
    <row r="21" spans="1:4">
      <c r="A21" s="10" t="s">
        <v>397</v>
      </c>
      <c r="B21" s="215">
        <f>B22+B23</f>
        <v>734.58932049529324</v>
      </c>
      <c r="C21" s="215">
        <f>C22+C23</f>
        <v>-1067.1710499999999</v>
      </c>
      <c r="D21" s="43">
        <f t="shared" si="1"/>
        <v>-1.452745119246309</v>
      </c>
    </row>
    <row r="22" spans="1:4">
      <c r="A22" s="10" t="s">
        <v>398</v>
      </c>
      <c r="B22" s="215">
        <v>734.58932049529324</v>
      </c>
      <c r="C22" s="215">
        <v>0</v>
      </c>
      <c r="D22" s="43">
        <f t="shared" si="1"/>
        <v>0</v>
      </c>
    </row>
    <row r="23" spans="1:4">
      <c r="A23" s="10" t="s">
        <v>107</v>
      </c>
      <c r="B23" s="215"/>
      <c r="C23" s="215">
        <v>-1067.1710499999999</v>
      </c>
      <c r="D23" s="43"/>
    </row>
    <row r="24" spans="1:4">
      <c r="A24" s="10" t="s">
        <v>399</v>
      </c>
      <c r="B24" s="215"/>
      <c r="C24" s="215">
        <v>0</v>
      </c>
      <c r="D24" s="43">
        <f t="shared" si="1"/>
        <v>0</v>
      </c>
    </row>
    <row r="25" spans="1:4">
      <c r="A25" s="10" t="s">
        <v>209</v>
      </c>
      <c r="B25" s="215">
        <f>B10+B6</f>
        <v>1617.249299679971</v>
      </c>
      <c r="C25" s="215">
        <f>C10+C6</f>
        <v>-15000.011090000004</v>
      </c>
      <c r="D25" s="43">
        <f t="shared" si="1"/>
        <v>-9.275014738277072</v>
      </c>
    </row>
    <row r="26" spans="1:4">
      <c r="C26" s="43"/>
      <c r="D26" s="43"/>
    </row>
    <row r="27" spans="1:4">
      <c r="C27" s="43"/>
      <c r="D27" s="43"/>
    </row>
    <row r="28" spans="1:4">
      <c r="C28" s="43"/>
      <c r="D28" s="43"/>
    </row>
    <row r="29" spans="1:4">
      <c r="C29" s="43"/>
      <c r="D29" s="43"/>
    </row>
    <row r="30" spans="1:4">
      <c r="C30" s="43"/>
      <c r="D30" s="43"/>
    </row>
    <row r="31" spans="1:4">
      <c r="C31" s="43"/>
      <c r="D31" s="43"/>
    </row>
    <row r="32" spans="1:4">
      <c r="C32" s="43"/>
      <c r="D32" s="43"/>
    </row>
    <row r="33" spans="1:4">
      <c r="C33" s="43"/>
      <c r="D33" s="43"/>
    </row>
    <row r="34" spans="1:4" ht="26.4">
      <c r="A34" s="12" t="s">
        <v>1490</v>
      </c>
      <c r="B34" s="12" t="s">
        <v>1480</v>
      </c>
      <c r="C34" s="22" t="s">
        <v>1481</v>
      </c>
      <c r="D34" s="22" t="s">
        <v>1482</v>
      </c>
    </row>
    <row r="35" spans="1:4">
      <c r="A35" s="10" t="s">
        <v>392</v>
      </c>
      <c r="B35" s="215"/>
      <c r="C35" s="215">
        <v>0</v>
      </c>
      <c r="D35" s="43">
        <f>IF(C35=0,0,C35/B35)</f>
        <v>0</v>
      </c>
    </row>
    <row r="36" spans="1:4">
      <c r="A36" s="10" t="s">
        <v>393</v>
      </c>
      <c r="B36" s="215"/>
      <c r="C36" s="215">
        <v>0</v>
      </c>
      <c r="D36" s="43">
        <f t="shared" ref="D36:D37" si="2">IF(C36=0,0,C36/B36)</f>
        <v>0</v>
      </c>
    </row>
    <row r="37" spans="1:4">
      <c r="A37" s="10" t="s">
        <v>394</v>
      </c>
      <c r="B37" s="215"/>
      <c r="C37" s="215">
        <v>0</v>
      </c>
      <c r="D37" s="43">
        <f t="shared" si="2"/>
        <v>0</v>
      </c>
    </row>
    <row r="38" spans="1:4">
      <c r="B38" s="215"/>
      <c r="C38" s="215"/>
      <c r="D38" s="43"/>
    </row>
    <row r="39" spans="1:4">
      <c r="A39" s="10" t="s">
        <v>395</v>
      </c>
      <c r="B39" s="215">
        <f>B40+B47+B50</f>
        <v>407.3722392310446</v>
      </c>
      <c r="C39" s="215">
        <f>C40+C47+C50</f>
        <v>-1650.7845300000001</v>
      </c>
      <c r="D39" s="43">
        <f t="shared" ref="D39:D43" si="3">IF(C39=0,0,C39/B39)</f>
        <v>-4.052275464611971</v>
      </c>
    </row>
    <row r="40" spans="1:4">
      <c r="A40" s="10" t="s">
        <v>396</v>
      </c>
      <c r="B40" s="215">
        <f>SUM(B41:B46)</f>
        <v>192.72524728910329</v>
      </c>
      <c r="C40" s="215">
        <f>SUM(C41:C46)</f>
        <v>-283.16163999999998</v>
      </c>
      <c r="D40" s="43">
        <f t="shared" si="3"/>
        <v>-1.4692503653931488</v>
      </c>
    </row>
    <row r="41" spans="1:4">
      <c r="A41" s="10" t="s">
        <v>225</v>
      </c>
      <c r="B41" s="215">
        <v>35.808434644031003</v>
      </c>
      <c r="C41" s="215">
        <v>-76.767380000000003</v>
      </c>
      <c r="D41" s="43">
        <f t="shared" si="3"/>
        <v>-2.1438351260852042</v>
      </c>
    </row>
    <row r="42" spans="1:4">
      <c r="A42" s="10" t="s">
        <v>1486</v>
      </c>
      <c r="B42" s="215">
        <v>98.072761968684617</v>
      </c>
      <c r="C42" s="215">
        <v>-72.049850000000006</v>
      </c>
      <c r="D42" s="43">
        <f t="shared" si="3"/>
        <v>-0.73465709085470721</v>
      </c>
    </row>
    <row r="43" spans="1:4">
      <c r="A43" s="10" t="s">
        <v>1487</v>
      </c>
      <c r="B43" s="215">
        <v>23.389913446953596</v>
      </c>
      <c r="C43" s="215">
        <v>-21.447209999999998</v>
      </c>
      <c r="D43" s="43">
        <f t="shared" si="3"/>
        <v>-0.91694268337676876</v>
      </c>
    </row>
    <row r="44" spans="1:4">
      <c r="A44" s="10" t="s">
        <v>1488</v>
      </c>
      <c r="B44" s="215">
        <v>11.075829405995432</v>
      </c>
      <c r="C44" s="215">
        <v>-43.665570000000002</v>
      </c>
      <c r="D44" s="43">
        <f>IF(C44=0,0,C44/B44)</f>
        <v>-3.942419876597548</v>
      </c>
    </row>
    <row r="45" spans="1:4">
      <c r="A45" s="10" t="s">
        <v>1489</v>
      </c>
      <c r="B45" s="215">
        <v>24.378307823438661</v>
      </c>
      <c r="C45" s="215">
        <v>-69.23163000000001</v>
      </c>
      <c r="D45" s="43">
        <f t="shared" ref="D45:D51" si="4">IF(C45=0,0,C45/B45)</f>
        <v>-2.8398866115488488</v>
      </c>
    </row>
    <row r="46" spans="1:4">
      <c r="A46" s="10" t="s">
        <v>107</v>
      </c>
      <c r="B46" s="215"/>
      <c r="C46" s="215">
        <v>0</v>
      </c>
      <c r="D46" s="43">
        <f t="shared" si="4"/>
        <v>0</v>
      </c>
    </row>
    <row r="47" spans="1:4">
      <c r="A47" s="10" t="s">
        <v>397</v>
      </c>
      <c r="B47" s="215">
        <v>214.64699194194131</v>
      </c>
      <c r="C47" s="215">
        <f>C48+C49</f>
        <v>-1367.6228900000001</v>
      </c>
      <c r="D47" s="43">
        <f t="shared" si="4"/>
        <v>-6.3714980472212766</v>
      </c>
    </row>
    <row r="48" spans="1:4">
      <c r="A48" s="10" t="s">
        <v>398</v>
      </c>
      <c r="B48" s="215"/>
      <c r="C48" s="215">
        <v>0</v>
      </c>
      <c r="D48" s="43">
        <f t="shared" si="4"/>
        <v>0</v>
      </c>
    </row>
    <row r="49" spans="1:4">
      <c r="A49" s="10" t="s">
        <v>107</v>
      </c>
      <c r="B49" s="215">
        <v>435.28817020787551</v>
      </c>
      <c r="C49" s="215">
        <v>-1367.6228900000001</v>
      </c>
      <c r="D49" s="43"/>
    </row>
    <row r="50" spans="1:4">
      <c r="A50" s="10" t="s">
        <v>399</v>
      </c>
      <c r="B50" s="215"/>
      <c r="C50" s="215">
        <v>0</v>
      </c>
      <c r="D50" s="43">
        <f t="shared" si="4"/>
        <v>0</v>
      </c>
    </row>
    <row r="51" spans="1:4">
      <c r="A51" s="10" t="s">
        <v>209</v>
      </c>
      <c r="B51" s="215">
        <f>B39+B35</f>
        <v>407.3722392310446</v>
      </c>
      <c r="C51" s="215">
        <f>C39+C35</f>
        <v>-1650.7845300000001</v>
      </c>
      <c r="D51" s="43">
        <f t="shared" si="4"/>
        <v>-4.052275464611971</v>
      </c>
    </row>
    <row r="52" spans="1:4">
      <c r="C52" s="43"/>
      <c r="D52" s="43"/>
    </row>
    <row r="53" spans="1:4">
      <c r="C53" s="43"/>
      <c r="D53" s="43"/>
    </row>
    <row r="54" spans="1:4">
      <c r="C54" s="43"/>
      <c r="D54" s="43"/>
    </row>
    <row r="55" spans="1:4">
      <c r="C55" s="43"/>
      <c r="D55" s="43"/>
    </row>
    <row r="56" spans="1:4">
      <c r="C56" s="43"/>
      <c r="D56" s="43"/>
    </row>
    <row r="57" spans="1:4">
      <c r="C57" s="43"/>
      <c r="D57" s="43"/>
    </row>
    <row r="58" spans="1:4">
      <c r="C58" s="43"/>
      <c r="D58" s="43"/>
    </row>
    <row r="59" spans="1:4">
      <c r="C59" s="43"/>
      <c r="D59" s="43"/>
    </row>
    <row r="60" spans="1:4">
      <c r="C60" s="43"/>
      <c r="D60" s="43"/>
    </row>
    <row r="61" spans="1:4">
      <c r="C61" s="43"/>
      <c r="D61" s="43"/>
    </row>
    <row r="62" spans="1:4">
      <c r="C62" s="43"/>
      <c r="D62" s="43"/>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9"/>
  <sheetViews>
    <sheetView workbookViewId="0"/>
  </sheetViews>
  <sheetFormatPr defaultColWidth="9.109375" defaultRowHeight="13.2"/>
  <cols>
    <col min="1" max="1" width="4.109375" style="10" customWidth="1"/>
    <col min="2" max="2" width="6.5546875" style="10" customWidth="1"/>
    <col min="3" max="3" width="32.6640625" style="10" customWidth="1"/>
    <col min="4" max="4" width="13.5546875" style="10" customWidth="1"/>
    <col min="5" max="5" width="14.6640625" style="10" customWidth="1"/>
    <col min="6" max="6" width="10.6640625" style="10" customWidth="1"/>
    <col min="7" max="7" width="13.88671875" style="10" customWidth="1"/>
    <col min="8" max="8" width="13.109375" style="10" customWidth="1"/>
    <col min="9" max="9" width="12.33203125" style="10" customWidth="1"/>
    <col min="10" max="10" width="16.33203125" style="10" customWidth="1"/>
    <col min="11" max="11" width="21.6640625" style="10" customWidth="1"/>
    <col min="12" max="16384" width="9.109375" style="10"/>
  </cols>
  <sheetData>
    <row r="1" spans="2:11">
      <c r="B1" s="11" t="s">
        <v>404</v>
      </c>
    </row>
    <row r="6" spans="2:11">
      <c r="D6" s="12" t="s">
        <v>192</v>
      </c>
      <c r="E6" s="12" t="s">
        <v>193</v>
      </c>
      <c r="F6" s="12" t="s">
        <v>211</v>
      </c>
      <c r="G6" s="12" t="s">
        <v>212</v>
      </c>
      <c r="H6" s="12" t="s">
        <v>213</v>
      </c>
      <c r="I6" s="12" t="s">
        <v>214</v>
      </c>
      <c r="J6" s="12" t="s">
        <v>215</v>
      </c>
      <c r="K6" s="12" t="s">
        <v>216</v>
      </c>
    </row>
    <row r="7" spans="2:11" ht="76.5" customHeight="1">
      <c r="D7" s="307" t="s">
        <v>405</v>
      </c>
      <c r="E7" s="307"/>
      <c r="F7" s="307"/>
      <c r="G7" s="307"/>
      <c r="H7" s="307" t="s">
        <v>406</v>
      </c>
      <c r="I7" s="307"/>
      <c r="J7" s="307" t="s">
        <v>407</v>
      </c>
      <c r="K7" s="307"/>
    </row>
    <row r="8" spans="2:11" ht="79.5" customHeight="1">
      <c r="C8" s="30"/>
      <c r="D8" s="83" t="s">
        <v>408</v>
      </c>
      <c r="E8" s="86" t="s">
        <v>409</v>
      </c>
      <c r="F8" s="83"/>
      <c r="G8" s="84"/>
      <c r="H8" s="307" t="s">
        <v>410</v>
      </c>
      <c r="I8" s="308" t="s">
        <v>411</v>
      </c>
      <c r="J8" s="310"/>
      <c r="K8" s="308" t="s">
        <v>412</v>
      </c>
    </row>
    <row r="9" spans="2:11" ht="26.4">
      <c r="C9" s="12" t="s">
        <v>194</v>
      </c>
      <c r="D9" s="12"/>
      <c r="E9" s="87"/>
      <c r="F9" s="85" t="s">
        <v>413</v>
      </c>
      <c r="G9" s="84" t="s">
        <v>414</v>
      </c>
      <c r="H9" s="312"/>
      <c r="I9" s="309"/>
      <c r="J9" s="311"/>
      <c r="K9" s="309"/>
    </row>
    <row r="10" spans="2:11">
      <c r="B10" s="10">
        <v>1</v>
      </c>
      <c r="C10" s="10" t="s">
        <v>415</v>
      </c>
      <c r="D10" s="43"/>
      <c r="E10" s="43"/>
      <c r="F10" s="43"/>
      <c r="G10" s="43"/>
      <c r="H10" s="43"/>
      <c r="I10" s="43"/>
      <c r="J10" s="43"/>
      <c r="K10" s="43"/>
    </row>
    <row r="11" spans="2:11">
      <c r="B11" s="10">
        <v>2</v>
      </c>
      <c r="C11" s="10" t="s">
        <v>416</v>
      </c>
      <c r="D11" s="43"/>
      <c r="E11" s="43"/>
      <c r="F11" s="43"/>
      <c r="G11" s="43"/>
      <c r="H11" s="43"/>
      <c r="I11" s="43"/>
      <c r="J11" s="43"/>
      <c r="K11" s="43"/>
    </row>
    <row r="12" spans="2:11">
      <c r="B12" s="10">
        <v>3</v>
      </c>
      <c r="C12" s="10" t="s">
        <v>417</v>
      </c>
      <c r="D12" s="43"/>
      <c r="E12" s="43"/>
      <c r="F12" s="43"/>
      <c r="G12" s="43"/>
      <c r="H12" s="43"/>
      <c r="I12" s="43"/>
      <c r="J12" s="43"/>
      <c r="K12" s="43"/>
    </row>
    <row r="13" spans="2:11">
      <c r="B13" s="10">
        <v>4</v>
      </c>
      <c r="C13" s="10" t="s">
        <v>418</v>
      </c>
      <c r="D13" s="43"/>
      <c r="E13" s="43"/>
      <c r="F13" s="43"/>
      <c r="G13" s="43"/>
      <c r="H13" s="43"/>
      <c r="I13" s="43"/>
      <c r="J13" s="43"/>
      <c r="K13" s="43"/>
    </row>
    <row r="14" spans="2:11">
      <c r="B14" s="10">
        <v>5</v>
      </c>
      <c r="C14" s="10" t="s">
        <v>419</v>
      </c>
      <c r="D14" s="43"/>
      <c r="E14" s="43"/>
      <c r="F14" s="43"/>
      <c r="G14" s="43"/>
      <c r="H14" s="43"/>
      <c r="I14" s="43"/>
      <c r="J14" s="43"/>
      <c r="K14" s="43"/>
    </row>
    <row r="15" spans="2:11">
      <c r="B15" s="10">
        <v>6</v>
      </c>
      <c r="C15" s="10" t="s">
        <v>420</v>
      </c>
      <c r="D15" s="43"/>
      <c r="E15" s="43"/>
      <c r="F15" s="43"/>
      <c r="G15" s="43"/>
      <c r="H15" s="43"/>
      <c r="I15" s="43"/>
      <c r="J15" s="43"/>
      <c r="K15" s="43"/>
    </row>
    <row r="16" spans="2:11">
      <c r="B16" s="10">
        <v>7</v>
      </c>
      <c r="C16" s="10" t="s">
        <v>421</v>
      </c>
      <c r="D16" s="43"/>
      <c r="E16" s="43"/>
      <c r="F16" s="43"/>
      <c r="G16" s="43"/>
      <c r="H16" s="43"/>
      <c r="I16" s="43"/>
      <c r="J16" s="43"/>
      <c r="K16" s="43"/>
    </row>
    <row r="17" spans="2:11">
      <c r="B17" s="10">
        <v>8</v>
      </c>
      <c r="C17" s="10" t="s">
        <v>422</v>
      </c>
      <c r="D17" s="43"/>
      <c r="E17" s="43"/>
      <c r="F17" s="43"/>
      <c r="G17" s="43"/>
      <c r="H17" s="43"/>
      <c r="I17" s="43"/>
      <c r="J17" s="43"/>
      <c r="K17" s="43"/>
    </row>
    <row r="18" spans="2:11">
      <c r="B18" s="10">
        <v>9</v>
      </c>
      <c r="C18" s="10" t="s">
        <v>423</v>
      </c>
      <c r="D18" s="43"/>
      <c r="E18" s="43"/>
      <c r="F18" s="43"/>
      <c r="G18" s="43"/>
      <c r="H18" s="43"/>
      <c r="I18" s="43"/>
      <c r="J18" s="43"/>
      <c r="K18" s="43"/>
    </row>
    <row r="19" spans="2:11">
      <c r="B19" s="10">
        <v>10</v>
      </c>
      <c r="C19" s="10" t="s">
        <v>209</v>
      </c>
      <c r="D19" s="43"/>
      <c r="E19" s="43"/>
      <c r="F19" s="43"/>
      <c r="G19" s="43"/>
      <c r="H19" s="43"/>
      <c r="I19" s="43"/>
      <c r="J19" s="43"/>
      <c r="K19" s="43"/>
    </row>
  </sheetData>
  <mergeCells count="7">
    <mergeCell ref="D7:G7"/>
    <mergeCell ref="H7:I7"/>
    <mergeCell ref="J7:K7"/>
    <mergeCell ref="K8:K9"/>
    <mergeCell ref="J8:J9"/>
    <mergeCell ref="I8:I9"/>
    <mergeCell ref="H8:H9"/>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sheetViews>
  <sheetFormatPr defaultColWidth="9.109375" defaultRowHeight="13.2"/>
  <cols>
    <col min="1" max="1" width="5" style="10" customWidth="1"/>
    <col min="2" max="2" width="32.6640625" style="10" customWidth="1"/>
    <col min="3" max="14" width="12.88671875" style="10" customWidth="1"/>
    <col min="15" max="16384" width="9.109375" style="10"/>
  </cols>
  <sheetData>
    <row r="1" spans="1:14">
      <c r="A1" s="11" t="s">
        <v>424</v>
      </c>
    </row>
    <row r="2" spans="1:14">
      <c r="A2" s="11"/>
    </row>
    <row r="3" spans="1:14">
      <c r="A3" s="11"/>
    </row>
    <row r="6" spans="1:14">
      <c r="C6" s="52" t="s">
        <v>192</v>
      </c>
      <c r="D6" s="52" t="s">
        <v>193</v>
      </c>
      <c r="E6" s="52" t="s">
        <v>211</v>
      </c>
      <c r="F6" s="52" t="s">
        <v>212</v>
      </c>
      <c r="G6" s="52" t="s">
        <v>213</v>
      </c>
      <c r="H6" s="52" t="s">
        <v>214</v>
      </c>
      <c r="I6" s="52" t="s">
        <v>215</v>
      </c>
      <c r="J6" s="52" t="s">
        <v>216</v>
      </c>
      <c r="K6" s="52" t="s">
        <v>278</v>
      </c>
      <c r="L6" s="52" t="s">
        <v>217</v>
      </c>
      <c r="M6" s="52" t="s">
        <v>279</v>
      </c>
      <c r="N6" s="52" t="s">
        <v>280</v>
      </c>
    </row>
    <row r="7" spans="1:14">
      <c r="C7" s="302" t="s">
        <v>425</v>
      </c>
      <c r="D7" s="302"/>
      <c r="E7" s="302"/>
      <c r="F7" s="302"/>
      <c r="G7" s="302"/>
      <c r="H7" s="302"/>
      <c r="I7" s="302"/>
      <c r="J7" s="302"/>
      <c r="K7" s="302"/>
      <c r="L7" s="302"/>
      <c r="M7" s="302"/>
      <c r="N7" s="302"/>
    </row>
    <row r="8" spans="1:14">
      <c r="C8" s="305" t="s">
        <v>426</v>
      </c>
      <c r="D8" s="305"/>
      <c r="E8" s="313"/>
      <c r="F8" s="305" t="s">
        <v>427</v>
      </c>
      <c r="G8" s="305"/>
      <c r="H8" s="305"/>
      <c r="I8" s="305"/>
      <c r="J8" s="305"/>
      <c r="K8" s="305"/>
      <c r="L8" s="305"/>
      <c r="M8" s="305"/>
      <c r="N8" s="305"/>
    </row>
    <row r="9" spans="1:14" ht="66">
      <c r="D9" s="86" t="s">
        <v>428</v>
      </c>
      <c r="E9" s="88" t="s">
        <v>429</v>
      </c>
      <c r="F9" s="19"/>
      <c r="G9" s="85" t="s">
        <v>430</v>
      </c>
      <c r="H9" s="85" t="s">
        <v>431</v>
      </c>
      <c r="I9" s="85" t="s">
        <v>432</v>
      </c>
      <c r="J9" s="85" t="s">
        <v>433</v>
      </c>
      <c r="K9" s="85" t="s">
        <v>434</v>
      </c>
      <c r="L9" s="85" t="s">
        <v>435</v>
      </c>
      <c r="M9" s="85" t="s">
        <v>436</v>
      </c>
      <c r="N9" s="49" t="s">
        <v>1413</v>
      </c>
    </row>
    <row r="10" spans="1:14">
      <c r="B10" s="30" t="s">
        <v>194</v>
      </c>
      <c r="C10" s="30"/>
      <c r="D10" s="30"/>
      <c r="E10" s="30"/>
      <c r="F10" s="30"/>
      <c r="G10" s="30"/>
      <c r="H10" s="30"/>
      <c r="I10" s="30"/>
      <c r="J10" s="30"/>
      <c r="K10" s="30"/>
      <c r="L10" s="30"/>
      <c r="M10" s="30"/>
      <c r="N10" s="30"/>
    </row>
    <row r="11" spans="1:14">
      <c r="A11" s="10">
        <v>1</v>
      </c>
      <c r="B11" s="10" t="s">
        <v>415</v>
      </c>
      <c r="C11" s="203">
        <v>2925.2894628599997</v>
      </c>
      <c r="D11" s="203">
        <v>2906.1868848180229</v>
      </c>
      <c r="E11" s="203">
        <v>6.7830868720187372</v>
      </c>
      <c r="F11" s="203">
        <v>12.319491169958461</v>
      </c>
      <c r="G11" s="203">
        <v>9.3543509357983847</v>
      </c>
      <c r="H11" s="203">
        <v>0.39596073932451525</v>
      </c>
      <c r="I11" s="203">
        <v>2.5691794948355606</v>
      </c>
      <c r="J11" s="203"/>
      <c r="K11" s="203"/>
      <c r="L11" s="203"/>
      <c r="M11" s="203"/>
      <c r="N11" s="203">
        <v>3.457188888080319</v>
      </c>
    </row>
    <row r="12" spans="1:14">
      <c r="A12" s="10">
        <v>2</v>
      </c>
      <c r="B12" s="10" t="s">
        <v>437</v>
      </c>
      <c r="C12" s="203">
        <v>1209.69249547</v>
      </c>
      <c r="D12" s="203">
        <v>1209.69249547</v>
      </c>
      <c r="E12" s="203" t="s">
        <v>154</v>
      </c>
      <c r="F12" s="203" t="s">
        <v>154</v>
      </c>
      <c r="G12" s="203" t="s">
        <v>154</v>
      </c>
      <c r="H12" s="203" t="s">
        <v>154</v>
      </c>
      <c r="I12" s="203" t="s">
        <v>154</v>
      </c>
      <c r="J12" s="203"/>
      <c r="K12" s="203"/>
      <c r="L12" s="203"/>
      <c r="M12" s="203"/>
      <c r="N12" s="203" t="s">
        <v>154</v>
      </c>
    </row>
    <row r="13" spans="1:14">
      <c r="A13" s="10">
        <v>3</v>
      </c>
      <c r="B13" s="10" t="s">
        <v>438</v>
      </c>
      <c r="C13" s="203">
        <v>0.57079819689238165</v>
      </c>
      <c r="D13" s="203">
        <v>0.57079819689238165</v>
      </c>
      <c r="E13" s="203" t="s">
        <v>154</v>
      </c>
      <c r="F13" s="203" t="s">
        <v>154</v>
      </c>
      <c r="G13" s="203" t="s">
        <v>154</v>
      </c>
      <c r="H13" s="203" t="s">
        <v>154</v>
      </c>
      <c r="I13" s="203" t="s">
        <v>154</v>
      </c>
      <c r="J13" s="203"/>
      <c r="K13" s="203"/>
      <c r="L13" s="203"/>
      <c r="M13" s="203"/>
      <c r="N13" s="203" t="s">
        <v>154</v>
      </c>
    </row>
    <row r="14" spans="1:14">
      <c r="A14" s="10">
        <v>4</v>
      </c>
      <c r="B14" s="10" t="s">
        <v>439</v>
      </c>
      <c r="C14" s="203">
        <v>93.412732550000015</v>
      </c>
      <c r="D14" s="203">
        <v>93.412732550000015</v>
      </c>
      <c r="E14" s="203" t="s">
        <v>154</v>
      </c>
      <c r="F14" s="203" t="s">
        <v>154</v>
      </c>
      <c r="G14" s="203" t="s">
        <v>154</v>
      </c>
      <c r="H14" s="203" t="s">
        <v>154</v>
      </c>
      <c r="I14" s="203" t="s">
        <v>154</v>
      </c>
      <c r="J14" s="203"/>
      <c r="K14" s="203"/>
      <c r="L14" s="203"/>
      <c r="M14" s="203"/>
      <c r="N14" s="203" t="s">
        <v>154</v>
      </c>
    </row>
    <row r="15" spans="1:14">
      <c r="A15" s="10">
        <v>5</v>
      </c>
      <c r="B15" s="10" t="s">
        <v>440</v>
      </c>
      <c r="C15" s="203">
        <v>0.50873085965806242</v>
      </c>
      <c r="D15" s="203">
        <v>0.47917734965805708</v>
      </c>
      <c r="E15" s="203" t="s">
        <v>154</v>
      </c>
      <c r="F15" s="203">
        <v>2.9553509999999998E-2</v>
      </c>
      <c r="G15" s="203">
        <v>2.9553509999999998E-2</v>
      </c>
      <c r="H15" s="203" t="s">
        <v>154</v>
      </c>
      <c r="I15" s="203" t="s">
        <v>154</v>
      </c>
      <c r="J15" s="203"/>
      <c r="K15" s="203"/>
      <c r="L15" s="203"/>
      <c r="M15" s="203"/>
      <c r="N15" s="203" t="s">
        <v>154</v>
      </c>
    </row>
    <row r="16" spans="1:14">
      <c r="A16" s="10">
        <v>6</v>
      </c>
      <c r="B16" s="10" t="s">
        <v>441</v>
      </c>
      <c r="C16" s="203">
        <v>882.65997918467338</v>
      </c>
      <c r="D16" s="203">
        <v>871.58941474514961</v>
      </c>
      <c r="E16" s="203">
        <v>2.6360328830477018</v>
      </c>
      <c r="F16" s="203">
        <v>8.4345315564761343</v>
      </c>
      <c r="G16" s="203">
        <v>7.0903253799999968</v>
      </c>
      <c r="H16" s="203">
        <v>1.4499635190548033E-2</v>
      </c>
      <c r="I16" s="203">
        <v>1.3297065412855888</v>
      </c>
      <c r="J16" s="203"/>
      <c r="K16" s="203"/>
      <c r="L16" s="203"/>
      <c r="M16" s="203"/>
      <c r="N16" s="203">
        <v>1.2778305964761369</v>
      </c>
    </row>
    <row r="17" spans="1:14">
      <c r="A17" s="10">
        <v>7</v>
      </c>
      <c r="B17" s="10" t="s">
        <v>442</v>
      </c>
      <c r="C17" s="203">
        <v>829.10277131853559</v>
      </c>
      <c r="D17" s="203">
        <v>818.07074492901165</v>
      </c>
      <c r="E17" s="203">
        <v>2.5974948330477017</v>
      </c>
      <c r="F17" s="203">
        <v>8.4345315564761343</v>
      </c>
      <c r="G17" s="203">
        <v>7.0903253799999968</v>
      </c>
      <c r="H17" s="203">
        <v>1.4499635190548033E-2</v>
      </c>
      <c r="I17" s="203">
        <v>1.3297065412855888</v>
      </c>
      <c r="J17" s="203"/>
      <c r="K17" s="203"/>
      <c r="L17" s="203"/>
      <c r="M17" s="203"/>
      <c r="N17" s="203">
        <v>1.2776655564761372</v>
      </c>
    </row>
    <row r="18" spans="1:14">
      <c r="A18" s="10">
        <v>8</v>
      </c>
      <c r="B18" s="10" t="s">
        <v>443</v>
      </c>
      <c r="C18" s="203">
        <v>738.44472659877567</v>
      </c>
      <c r="D18" s="203">
        <v>730.44226650632231</v>
      </c>
      <c r="E18" s="203">
        <v>4.1470539889710354</v>
      </c>
      <c r="F18" s="203">
        <v>3.8554061034823262</v>
      </c>
      <c r="G18" s="203">
        <v>2.2344720457983875</v>
      </c>
      <c r="H18" s="203">
        <v>0.38146110413396728</v>
      </c>
      <c r="I18" s="203">
        <v>1.2394729535499718</v>
      </c>
      <c r="J18" s="203"/>
      <c r="K18" s="203"/>
      <c r="L18" s="203"/>
      <c r="M18" s="203"/>
      <c r="N18" s="203">
        <v>2.1793582916041823</v>
      </c>
    </row>
    <row r="19" spans="1:14">
      <c r="A19" s="10">
        <v>9</v>
      </c>
      <c r="B19" s="10" t="s">
        <v>444</v>
      </c>
      <c r="C19" s="203">
        <v>32.762530720000001</v>
      </c>
      <c r="D19" s="203">
        <v>32.762530720000001</v>
      </c>
      <c r="E19" s="203"/>
      <c r="F19" s="203"/>
      <c r="G19" s="203"/>
      <c r="H19" s="203"/>
      <c r="I19" s="203"/>
      <c r="J19" s="203"/>
      <c r="K19" s="203"/>
      <c r="L19" s="203"/>
      <c r="M19" s="203"/>
      <c r="N19" s="203"/>
    </row>
    <row r="20" spans="1:14">
      <c r="A20" s="10">
        <v>10</v>
      </c>
      <c r="B20" s="10" t="s">
        <v>437</v>
      </c>
      <c r="C20" s="203">
        <v>0</v>
      </c>
      <c r="D20" s="203">
        <v>0</v>
      </c>
      <c r="E20" s="203"/>
      <c r="F20" s="203"/>
      <c r="G20" s="203"/>
      <c r="H20" s="203"/>
      <c r="I20" s="203"/>
      <c r="J20" s="203"/>
      <c r="K20" s="203"/>
      <c r="L20" s="203"/>
      <c r="M20" s="203"/>
      <c r="N20" s="203"/>
    </row>
    <row r="21" spans="1:14">
      <c r="A21" s="10">
        <v>11</v>
      </c>
      <c r="B21" s="10" t="s">
        <v>438</v>
      </c>
      <c r="C21" s="203">
        <v>20.703411729999999</v>
      </c>
      <c r="D21" s="203">
        <v>20.703411729999999</v>
      </c>
      <c r="E21" s="203"/>
      <c r="F21" s="203"/>
      <c r="G21" s="203"/>
      <c r="H21" s="203"/>
      <c r="I21" s="203"/>
      <c r="J21" s="203"/>
      <c r="K21" s="203"/>
      <c r="L21" s="203"/>
      <c r="M21" s="203"/>
      <c r="N21" s="203"/>
    </row>
    <row r="22" spans="1:14">
      <c r="A22" s="10">
        <v>12</v>
      </c>
      <c r="B22" s="10" t="s">
        <v>439</v>
      </c>
      <c r="C22" s="203">
        <v>11.62718248</v>
      </c>
      <c r="D22" s="203">
        <v>11.62718248</v>
      </c>
      <c r="E22" s="203"/>
      <c r="F22" s="203"/>
      <c r="G22" s="203"/>
      <c r="H22" s="203"/>
      <c r="I22" s="203"/>
      <c r="J22" s="203"/>
      <c r="K22" s="203"/>
      <c r="L22" s="203"/>
      <c r="M22" s="203"/>
      <c r="N22" s="203"/>
    </row>
    <row r="23" spans="1:14">
      <c r="A23" s="10">
        <v>13</v>
      </c>
      <c r="B23" s="10" t="s">
        <v>440</v>
      </c>
      <c r="C23" s="203">
        <v>0</v>
      </c>
      <c r="D23" s="203">
        <v>0</v>
      </c>
      <c r="E23" s="203"/>
      <c r="F23" s="203"/>
      <c r="G23" s="203"/>
      <c r="H23" s="203"/>
      <c r="I23" s="203"/>
      <c r="J23" s="203"/>
      <c r="K23" s="203"/>
      <c r="L23" s="203"/>
      <c r="M23" s="203"/>
      <c r="N23" s="203"/>
    </row>
    <row r="24" spans="1:14">
      <c r="A24" s="10">
        <v>14</v>
      </c>
      <c r="B24" s="10" t="s">
        <v>441</v>
      </c>
      <c r="C24" s="203">
        <v>0.43193651</v>
      </c>
      <c r="D24" s="203">
        <v>0.43193651</v>
      </c>
      <c r="E24" s="203"/>
      <c r="F24" s="203"/>
      <c r="G24" s="203"/>
      <c r="H24" s="203"/>
      <c r="I24" s="203"/>
      <c r="J24" s="203"/>
      <c r="K24" s="203"/>
      <c r="L24" s="203"/>
      <c r="M24" s="203"/>
      <c r="N24" s="203"/>
    </row>
    <row r="25" spans="1:14">
      <c r="A25" s="10">
        <v>15</v>
      </c>
      <c r="B25" s="10" t="s">
        <v>445</v>
      </c>
      <c r="C25" s="203">
        <v>144.54547195999999</v>
      </c>
      <c r="D25" s="203">
        <v>144.54547195999999</v>
      </c>
      <c r="E25" s="203"/>
      <c r="F25" s="203"/>
      <c r="G25" s="203"/>
      <c r="H25" s="203"/>
      <c r="I25" s="203"/>
      <c r="J25" s="203"/>
      <c r="K25" s="203"/>
      <c r="L25" s="203"/>
      <c r="M25" s="203"/>
      <c r="N25" s="203"/>
    </row>
    <row r="26" spans="1:14">
      <c r="A26" s="10">
        <v>16</v>
      </c>
      <c r="B26" s="10" t="s">
        <v>437</v>
      </c>
      <c r="C26" s="203">
        <v>0.20932341000000002</v>
      </c>
      <c r="D26" s="203">
        <v>0.20932341000000002</v>
      </c>
      <c r="E26" s="203"/>
      <c r="F26" s="203"/>
      <c r="G26" s="203"/>
      <c r="H26" s="203"/>
      <c r="I26" s="203"/>
      <c r="J26" s="203"/>
      <c r="K26" s="203"/>
      <c r="L26" s="203"/>
      <c r="M26" s="203"/>
      <c r="N26" s="203"/>
    </row>
    <row r="27" spans="1:14">
      <c r="A27" s="10">
        <v>17</v>
      </c>
      <c r="B27" s="10" t="s">
        <v>438</v>
      </c>
      <c r="C27" s="203" t="s">
        <v>154</v>
      </c>
      <c r="D27" s="203" t="s">
        <v>154</v>
      </c>
      <c r="E27" s="203"/>
      <c r="F27" s="203"/>
      <c r="G27" s="203"/>
      <c r="H27" s="203"/>
      <c r="I27" s="203"/>
      <c r="J27" s="203"/>
      <c r="K27" s="203"/>
      <c r="L27" s="203"/>
      <c r="M27" s="203"/>
      <c r="N27" s="203"/>
    </row>
    <row r="28" spans="1:14">
      <c r="A28" s="10">
        <v>18</v>
      </c>
      <c r="B28" s="10" t="s">
        <v>439</v>
      </c>
      <c r="C28" s="203" t="s">
        <v>154</v>
      </c>
      <c r="D28" s="203" t="s">
        <v>154</v>
      </c>
      <c r="E28" s="203"/>
      <c r="F28" s="203"/>
      <c r="G28" s="203"/>
      <c r="H28" s="203"/>
      <c r="I28" s="203"/>
      <c r="J28" s="203"/>
      <c r="K28" s="203"/>
      <c r="L28" s="203"/>
      <c r="M28" s="203"/>
      <c r="N28" s="203"/>
    </row>
    <row r="29" spans="1:14">
      <c r="A29" s="10">
        <v>19</v>
      </c>
      <c r="B29" s="10" t="s">
        <v>440</v>
      </c>
      <c r="C29" s="203">
        <v>11.432665999999999</v>
      </c>
      <c r="D29" s="203">
        <v>11.432665999999999</v>
      </c>
      <c r="E29" s="203"/>
      <c r="F29" s="203"/>
      <c r="G29" s="203"/>
      <c r="H29" s="203"/>
      <c r="I29" s="203"/>
      <c r="J29" s="203"/>
      <c r="K29" s="203"/>
      <c r="L29" s="203"/>
      <c r="M29" s="203"/>
      <c r="N29" s="203"/>
    </row>
    <row r="30" spans="1:14">
      <c r="A30" s="10">
        <v>20</v>
      </c>
      <c r="B30" s="10" t="s">
        <v>441</v>
      </c>
      <c r="C30" s="203">
        <v>120.58974255</v>
      </c>
      <c r="D30" s="203">
        <v>120.58974255</v>
      </c>
      <c r="E30" s="203"/>
      <c r="F30" s="203"/>
      <c r="G30" s="203"/>
      <c r="H30" s="203"/>
      <c r="I30" s="203"/>
      <c r="J30" s="203"/>
      <c r="K30" s="203"/>
      <c r="L30" s="203"/>
      <c r="M30" s="203"/>
      <c r="N30" s="203"/>
    </row>
    <row r="31" spans="1:14">
      <c r="A31" s="10">
        <v>21</v>
      </c>
      <c r="B31" s="10" t="s">
        <v>443</v>
      </c>
      <c r="C31" s="203">
        <v>12.313739999999999</v>
      </c>
      <c r="D31" s="203">
        <v>12.313739999999999</v>
      </c>
      <c r="E31" s="203"/>
      <c r="F31" s="203"/>
      <c r="G31" s="203"/>
      <c r="H31" s="203"/>
      <c r="I31" s="203"/>
      <c r="J31" s="203"/>
      <c r="K31" s="203"/>
      <c r="L31" s="203"/>
      <c r="M31" s="203"/>
      <c r="N31" s="203"/>
    </row>
    <row r="32" spans="1:14">
      <c r="A32" s="10">
        <v>22</v>
      </c>
      <c r="B32" s="10" t="s">
        <v>209</v>
      </c>
      <c r="C32" s="203">
        <f>SUM(C11,C19,C25)</f>
        <v>3102.5974655399996</v>
      </c>
      <c r="D32" s="203">
        <f t="shared" ref="D32:N32" si="0">SUM(D11,D19,D25)</f>
        <v>3083.4948874980228</v>
      </c>
      <c r="E32" s="203">
        <f t="shared" si="0"/>
        <v>6.7830868720187372</v>
      </c>
      <c r="F32" s="203">
        <f t="shared" si="0"/>
        <v>12.319491169958461</v>
      </c>
      <c r="G32" s="203">
        <f t="shared" si="0"/>
        <v>9.3543509357983847</v>
      </c>
      <c r="H32" s="203">
        <f t="shared" si="0"/>
        <v>0.39596073932451525</v>
      </c>
      <c r="I32" s="203">
        <f t="shared" si="0"/>
        <v>2.5691794948355606</v>
      </c>
      <c r="J32" s="203"/>
      <c r="K32" s="203"/>
      <c r="L32" s="203"/>
      <c r="M32" s="203"/>
      <c r="N32" s="203">
        <f t="shared" si="0"/>
        <v>3.457188888080319</v>
      </c>
    </row>
  </sheetData>
  <mergeCells count="3">
    <mergeCell ref="C7:N7"/>
    <mergeCell ref="C8:E8"/>
    <mergeCell ref="F8:N8"/>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4"/>
  <sheetViews>
    <sheetView topLeftCell="J5" workbookViewId="0">
      <selection activeCell="T22" sqref="T22"/>
    </sheetView>
  </sheetViews>
  <sheetFormatPr defaultColWidth="9.109375" defaultRowHeight="13.2"/>
  <cols>
    <col min="1" max="1" width="2.88671875" style="10" customWidth="1"/>
    <col min="2" max="2" width="4.5546875" style="10" customWidth="1"/>
    <col min="3" max="3" width="55.33203125" style="10" customWidth="1"/>
    <col min="4" max="9" width="10.6640625" style="10" customWidth="1"/>
    <col min="10" max="10" width="15.44140625" style="10" customWidth="1"/>
    <col min="11" max="12" width="10.6640625" style="10" customWidth="1"/>
    <col min="13" max="13" width="20.44140625" style="10" customWidth="1"/>
    <col min="14" max="18" width="10.6640625" style="10" customWidth="1"/>
    <col min="19" max="16384" width="9.109375" style="10"/>
  </cols>
  <sheetData>
    <row r="1" spans="2:19">
      <c r="B1" s="11" t="s">
        <v>446</v>
      </c>
    </row>
    <row r="4" spans="2:19">
      <c r="D4" s="12" t="s">
        <v>192</v>
      </c>
      <c r="E4" s="12" t="s">
        <v>193</v>
      </c>
      <c r="F4" s="12" t="s">
        <v>211</v>
      </c>
      <c r="G4" s="12" t="s">
        <v>212</v>
      </c>
      <c r="H4" s="12" t="s">
        <v>213</v>
      </c>
      <c r="I4" s="12" t="s">
        <v>214</v>
      </c>
      <c r="J4" s="12" t="s">
        <v>215</v>
      </c>
      <c r="K4" s="12" t="s">
        <v>216</v>
      </c>
      <c r="L4" s="12" t="s">
        <v>278</v>
      </c>
      <c r="M4" s="12" t="s">
        <v>217</v>
      </c>
      <c r="N4" s="12" t="s">
        <v>279</v>
      </c>
      <c r="O4" s="12" t="s">
        <v>280</v>
      </c>
      <c r="P4" s="12" t="s">
        <v>447</v>
      </c>
      <c r="Q4" s="12" t="s">
        <v>218</v>
      </c>
      <c r="R4" s="12" t="s">
        <v>448</v>
      </c>
    </row>
    <row r="5" spans="2:19" ht="63.75" customHeight="1">
      <c r="D5" s="305" t="s">
        <v>425</v>
      </c>
      <c r="E5" s="305"/>
      <c r="F5" s="305"/>
      <c r="G5" s="305"/>
      <c r="J5" s="10" t="s">
        <v>406</v>
      </c>
      <c r="P5" s="307" t="s">
        <v>449</v>
      </c>
      <c r="Q5" s="307" t="s">
        <v>450</v>
      </c>
      <c r="R5" s="307"/>
    </row>
    <row r="6" spans="2:19" ht="78" customHeight="1">
      <c r="D6" s="318" t="s">
        <v>426</v>
      </c>
      <c r="E6" s="305"/>
      <c r="F6" s="313"/>
      <c r="G6" s="318" t="s">
        <v>427</v>
      </c>
      <c r="H6" s="305"/>
      <c r="I6" s="313"/>
      <c r="J6" s="308" t="s">
        <v>451</v>
      </c>
      <c r="K6" s="307"/>
      <c r="L6" s="319"/>
      <c r="M6" s="308" t="s">
        <v>452</v>
      </c>
      <c r="N6" s="307"/>
      <c r="O6" s="319"/>
      <c r="P6" s="317"/>
      <c r="Q6" s="314" t="s">
        <v>453</v>
      </c>
      <c r="R6" s="316" t="s">
        <v>454</v>
      </c>
      <c r="S6" s="19"/>
    </row>
    <row r="7" spans="2:19" ht="26.4">
      <c r="C7" s="12" t="s">
        <v>194</v>
      </c>
      <c r="D7" s="87"/>
      <c r="E7" s="85" t="s">
        <v>455</v>
      </c>
      <c r="F7" s="89" t="s">
        <v>456</v>
      </c>
      <c r="G7" s="87"/>
      <c r="H7" s="85" t="s">
        <v>456</v>
      </c>
      <c r="I7" s="89" t="s">
        <v>457</v>
      </c>
      <c r="J7" s="87"/>
      <c r="K7" s="85" t="s">
        <v>455</v>
      </c>
      <c r="L7" s="89" t="s">
        <v>456</v>
      </c>
      <c r="M7" s="87"/>
      <c r="N7" s="85" t="s">
        <v>456</v>
      </c>
      <c r="O7" s="89" t="s">
        <v>457</v>
      </c>
      <c r="P7" s="312"/>
      <c r="Q7" s="315"/>
      <c r="R7" s="316"/>
      <c r="S7" s="12"/>
    </row>
    <row r="8" spans="2:19">
      <c r="B8" s="10">
        <v>1</v>
      </c>
      <c r="C8" s="10" t="s">
        <v>437</v>
      </c>
      <c r="D8" s="215"/>
      <c r="E8" s="215"/>
      <c r="F8" s="215"/>
      <c r="G8" s="215"/>
      <c r="H8" s="215"/>
      <c r="I8" s="215"/>
      <c r="J8" s="215"/>
      <c r="K8" s="215"/>
      <c r="L8" s="215"/>
      <c r="M8" s="215"/>
      <c r="N8" s="215"/>
      <c r="O8" s="215"/>
      <c r="P8" s="215"/>
      <c r="Q8" s="215"/>
      <c r="R8" s="215"/>
    </row>
    <row r="9" spans="2:19">
      <c r="B9" s="10">
        <v>2</v>
      </c>
      <c r="C9" s="10" t="s">
        <v>438</v>
      </c>
      <c r="D9" s="215">
        <f>SUM(E9:F9)</f>
        <v>0.57079819689238176</v>
      </c>
      <c r="E9" s="215">
        <v>0.57079819689238176</v>
      </c>
      <c r="F9" s="215">
        <v>0</v>
      </c>
      <c r="G9" s="215">
        <v>0</v>
      </c>
      <c r="H9" s="215">
        <v>0</v>
      </c>
      <c r="I9" s="215">
        <v>0</v>
      </c>
      <c r="J9" s="215">
        <f>SUM(K9:L9)</f>
        <v>-3.5938099999999998E-3</v>
      </c>
      <c r="K9" s="215">
        <v>-3.5938099999999998E-3</v>
      </c>
      <c r="L9" s="215">
        <v>0</v>
      </c>
      <c r="M9" s="215">
        <f>SUM(N9:O9)</f>
        <v>0</v>
      </c>
      <c r="N9" s="215">
        <v>0</v>
      </c>
      <c r="O9" s="215">
        <v>0</v>
      </c>
      <c r="P9" s="215"/>
      <c r="Q9" s="215"/>
      <c r="R9" s="215"/>
    </row>
    <row r="10" spans="2:19">
      <c r="B10" s="10">
        <v>3</v>
      </c>
      <c r="C10" s="10" t="s">
        <v>439</v>
      </c>
      <c r="D10" s="215">
        <f t="shared" ref="D10:D13" si="0">SUM(E10:F10)</f>
        <v>1229.89880296</v>
      </c>
      <c r="E10" s="215">
        <v>1229.89880296</v>
      </c>
      <c r="F10" s="215">
        <v>0</v>
      </c>
      <c r="G10" s="215">
        <v>0</v>
      </c>
      <c r="H10" s="215">
        <v>0</v>
      </c>
      <c r="I10" s="215">
        <v>0</v>
      </c>
      <c r="J10" s="215">
        <f t="shared" ref="J10:J13" si="1">SUM(K10:L10)</f>
        <v>-8.9000000000000027E-7</v>
      </c>
      <c r="K10" s="215">
        <v>-8.9000000000000027E-7</v>
      </c>
      <c r="L10" s="215">
        <v>0</v>
      </c>
      <c r="M10" s="215">
        <f t="shared" ref="M10:M13" si="2">SUM(N10:O10)</f>
        <v>0</v>
      </c>
      <c r="N10" s="215">
        <v>0</v>
      </c>
      <c r="O10" s="215">
        <v>0</v>
      </c>
      <c r="P10" s="215"/>
      <c r="Q10" s="215">
        <v>0</v>
      </c>
      <c r="R10" s="215">
        <v>2E-3</v>
      </c>
    </row>
    <row r="11" spans="2:19">
      <c r="B11" s="10">
        <v>4</v>
      </c>
      <c r="C11" s="10" t="s">
        <v>440</v>
      </c>
      <c r="D11" s="215">
        <f t="shared" si="0"/>
        <v>120.23517734965806</v>
      </c>
      <c r="E11" s="215">
        <v>120.22491626334757</v>
      </c>
      <c r="F11" s="215">
        <v>1.026108631049001E-2</v>
      </c>
      <c r="G11" s="215">
        <v>2.9553509999999998E-2</v>
      </c>
      <c r="H11" s="215">
        <v>2.9553509999999998E-2</v>
      </c>
      <c r="I11" s="215">
        <v>0</v>
      </c>
      <c r="J11" s="215">
        <f t="shared" si="1"/>
        <v>-0.29122804000000008</v>
      </c>
      <c r="K11" s="215">
        <v>-0.29122391000000009</v>
      </c>
      <c r="L11" s="215">
        <v>-4.1300000000000003E-6</v>
      </c>
      <c r="M11" s="215">
        <f t="shared" si="2"/>
        <v>0</v>
      </c>
      <c r="N11" s="215">
        <v>0</v>
      </c>
      <c r="O11" s="215">
        <v>0</v>
      </c>
      <c r="P11" s="215"/>
      <c r="Q11" s="215">
        <v>0</v>
      </c>
      <c r="R11" s="215">
        <v>0</v>
      </c>
    </row>
    <row r="12" spans="2:19">
      <c r="B12" s="10">
        <v>5</v>
      </c>
      <c r="C12" s="10" t="s">
        <v>441</v>
      </c>
      <c r="D12" s="215">
        <f t="shared" si="0"/>
        <v>874.22544762819768</v>
      </c>
      <c r="E12" s="215">
        <v>821.85557430227482</v>
      </c>
      <c r="F12" s="215">
        <v>52.36987332592286</v>
      </c>
      <c r="G12" s="215">
        <v>8.4345315564761343</v>
      </c>
      <c r="H12" s="215">
        <v>7.1567009599999967</v>
      </c>
      <c r="I12" s="215">
        <v>1.2778305964761369</v>
      </c>
      <c r="J12" s="215">
        <f t="shared" si="1"/>
        <v>-3.4301732000000031</v>
      </c>
      <c r="K12" s="215">
        <v>-2.2551402000000031</v>
      </c>
      <c r="L12" s="215">
        <v>-1.1750329999999998</v>
      </c>
      <c r="M12" s="215">
        <f t="shared" si="2"/>
        <v>-9.8483539999999994E-2</v>
      </c>
      <c r="N12" s="215">
        <v>0</v>
      </c>
      <c r="O12" s="215">
        <v>-9.8483539999999994E-2</v>
      </c>
      <c r="P12" s="215"/>
      <c r="Q12" s="215">
        <v>1.2778305964761401</v>
      </c>
      <c r="R12" s="215">
        <v>0.63891529823806803</v>
      </c>
    </row>
    <row r="13" spans="2:19">
      <c r="B13" s="10">
        <v>6</v>
      </c>
      <c r="C13" s="10" t="s">
        <v>443</v>
      </c>
      <c r="D13" s="215">
        <f t="shared" si="0"/>
        <v>668.88285572529423</v>
      </c>
      <c r="E13" s="215">
        <v>621.65675944542068</v>
      </c>
      <c r="F13" s="215">
        <v>47.226096279873609</v>
      </c>
      <c r="G13" s="215">
        <v>3.7467114534823271</v>
      </c>
      <c r="H13" s="215">
        <v>1.6760478118781446</v>
      </c>
      <c r="I13" s="215">
        <v>2.0706636416041824</v>
      </c>
      <c r="J13" s="215">
        <f t="shared" si="1"/>
        <v>-1.4567247299999952</v>
      </c>
      <c r="K13" s="215">
        <v>-0.88100563000000132</v>
      </c>
      <c r="L13" s="215">
        <v>-0.57571909999999393</v>
      </c>
      <c r="M13" s="215">
        <f t="shared" si="2"/>
        <v>-9.0409440000000049E-2</v>
      </c>
      <c r="N13" s="215">
        <v>-7.5235199999999997E-3</v>
      </c>
      <c r="O13" s="215">
        <v>-8.2885920000000043E-2</v>
      </c>
      <c r="P13" s="215"/>
      <c r="Q13" s="215">
        <v>2.17935829160418</v>
      </c>
      <c r="R13" s="215">
        <v>1.08967914580209</v>
      </c>
    </row>
    <row r="14" spans="2:19">
      <c r="B14" s="10">
        <v>7</v>
      </c>
      <c r="C14" s="10" t="s">
        <v>209</v>
      </c>
      <c r="D14" s="215">
        <f t="shared" ref="D14:R14" si="3">SUM(D8:D12,D13)</f>
        <v>2893.8130818600421</v>
      </c>
      <c r="E14" s="215">
        <f t="shared" si="3"/>
        <v>2794.2068511679354</v>
      </c>
      <c r="F14" s="215">
        <f t="shared" si="3"/>
        <v>99.606230692106962</v>
      </c>
      <c r="G14" s="215">
        <f t="shared" si="3"/>
        <v>12.21079651995846</v>
      </c>
      <c r="H14" s="215">
        <f t="shared" si="3"/>
        <v>8.8623022818781418</v>
      </c>
      <c r="I14" s="215">
        <f t="shared" si="3"/>
        <v>3.3484942380803195</v>
      </c>
      <c r="J14" s="215">
        <f t="shared" si="3"/>
        <v>-5.181720669999998</v>
      </c>
      <c r="K14" s="215">
        <f t="shared" si="3"/>
        <v>-3.4309644400000048</v>
      </c>
      <c r="L14" s="215">
        <f t="shared" si="3"/>
        <v>-1.7507562299999937</v>
      </c>
      <c r="M14" s="215">
        <f t="shared" si="3"/>
        <v>-0.18889298000000004</v>
      </c>
      <c r="N14" s="215">
        <f t="shared" si="3"/>
        <v>-7.5235199999999997E-3</v>
      </c>
      <c r="O14" s="215">
        <f t="shared" si="3"/>
        <v>-0.18136946000000004</v>
      </c>
      <c r="P14" s="215">
        <f t="shared" si="3"/>
        <v>0</v>
      </c>
      <c r="Q14" s="215">
        <f t="shared" si="3"/>
        <v>3.4571888880803199</v>
      </c>
      <c r="R14" s="215">
        <f t="shared" si="3"/>
        <v>1.7305944440401579</v>
      </c>
    </row>
  </sheetData>
  <mergeCells count="9">
    <mergeCell ref="Q5:R5"/>
    <mergeCell ref="Q6:Q7"/>
    <mergeCell ref="R6:R7"/>
    <mergeCell ref="P5:P7"/>
    <mergeCell ref="D5:G5"/>
    <mergeCell ref="D6:F6"/>
    <mergeCell ref="G6:I6"/>
    <mergeCell ref="J6:L6"/>
    <mergeCell ref="M6:O6"/>
  </mergeCells>
  <pageMargins left="0.7" right="0.7" top="0.75" bottom="0.75" header="0.3" footer="0.3"/>
  <pageSetup paperSize="9"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selection activeCell="G23" sqref="G23"/>
    </sheetView>
  </sheetViews>
  <sheetFormatPr defaultColWidth="9.109375" defaultRowHeight="13.2"/>
  <cols>
    <col min="1" max="1" width="38" style="10" customWidth="1"/>
    <col min="2" max="2" width="39.88671875" style="10" customWidth="1"/>
    <col min="3" max="3" width="19.6640625" style="10" customWidth="1"/>
    <col min="4" max="7" width="12.88671875" style="10" customWidth="1"/>
    <col min="8" max="16384" width="9.109375" style="10"/>
  </cols>
  <sheetData>
    <row r="1" spans="1:7">
      <c r="A1" s="11" t="s">
        <v>468</v>
      </c>
    </row>
    <row r="5" spans="1:7">
      <c r="A5" s="10" t="s">
        <v>1444</v>
      </c>
      <c r="C5" s="12" t="s">
        <v>458</v>
      </c>
      <c r="D5" s="12"/>
      <c r="E5" s="12" t="s">
        <v>372</v>
      </c>
      <c r="F5" s="12"/>
      <c r="G5" s="43"/>
    </row>
    <row r="6" spans="1:7">
      <c r="A6" s="12" t="s">
        <v>459</v>
      </c>
      <c r="B6" s="12" t="s">
        <v>460</v>
      </c>
      <c r="C6" s="12" t="s">
        <v>461</v>
      </c>
      <c r="D6" s="12" t="s">
        <v>462</v>
      </c>
      <c r="E6" s="12" t="s">
        <v>461</v>
      </c>
      <c r="F6" s="12" t="s">
        <v>462</v>
      </c>
      <c r="G6" s="43"/>
    </row>
    <row r="7" spans="1:7">
      <c r="A7" s="10" t="s">
        <v>1449</v>
      </c>
      <c r="C7" s="43"/>
      <c r="D7" s="43"/>
      <c r="E7" s="43"/>
      <c r="F7" s="43"/>
      <c r="G7" s="43"/>
    </row>
    <row r="8" spans="1:7">
      <c r="A8" s="10">
        <v>1</v>
      </c>
      <c r="B8" s="10" t="s">
        <v>467</v>
      </c>
      <c r="C8" s="43"/>
      <c r="D8" s="43"/>
      <c r="E8" s="43"/>
      <c r="F8" s="43"/>
      <c r="G8" s="43"/>
    </row>
    <row r="9" spans="1:7">
      <c r="A9" s="10">
        <v>2</v>
      </c>
      <c r="B9" s="10" t="s">
        <v>464</v>
      </c>
      <c r="C9" s="43">
        <v>1470</v>
      </c>
      <c r="D9" s="43">
        <v>1693.23982</v>
      </c>
      <c r="E9" s="43">
        <v>1470</v>
      </c>
      <c r="F9" s="43">
        <v>1693.23982</v>
      </c>
      <c r="G9" s="43"/>
    </row>
    <row r="10" spans="1:7">
      <c r="A10" s="10" t="s">
        <v>465</v>
      </c>
      <c r="B10" s="10" t="s">
        <v>466</v>
      </c>
      <c r="C10" s="43">
        <v>4430.8616600000005</v>
      </c>
      <c r="D10" s="43">
        <v>161532.92361999996</v>
      </c>
      <c r="E10" s="43">
        <v>4430.8616600000005</v>
      </c>
      <c r="F10" s="43">
        <v>161532.92361999996</v>
      </c>
      <c r="G10" s="43"/>
    </row>
    <row r="11" spans="1:7">
      <c r="A11" s="10" t="s">
        <v>312</v>
      </c>
      <c r="C11" s="43">
        <v>5900.8616600000005</v>
      </c>
      <c r="D11" s="43">
        <v>163226.16343999995</v>
      </c>
      <c r="E11" s="43">
        <v>5900.8616600000005</v>
      </c>
      <c r="F11" s="43">
        <v>163226.16343999995</v>
      </c>
      <c r="G11" s="43"/>
    </row>
    <row r="12" spans="1:7">
      <c r="C12" s="43"/>
      <c r="D12" s="43"/>
      <c r="E12" s="43"/>
      <c r="F12" s="43"/>
      <c r="G12" s="43"/>
    </row>
    <row r="13" spans="1:7">
      <c r="A13" s="10" t="s">
        <v>1450</v>
      </c>
      <c r="C13" s="43"/>
      <c r="D13" s="43"/>
      <c r="E13" s="43"/>
      <c r="F13" s="43"/>
      <c r="G13" s="43"/>
    </row>
    <row r="14" spans="1:7">
      <c r="A14" s="10">
        <v>1</v>
      </c>
      <c r="B14" s="10" t="s">
        <v>463</v>
      </c>
      <c r="C14" s="43">
        <v>100</v>
      </c>
      <c r="D14" s="43">
        <v>100</v>
      </c>
      <c r="E14" s="43">
        <v>100</v>
      </c>
      <c r="F14" s="43">
        <v>100</v>
      </c>
      <c r="G14" s="43"/>
    </row>
    <row r="15" spans="1:7">
      <c r="A15" s="10">
        <v>2</v>
      </c>
      <c r="B15" s="10" t="s">
        <v>464</v>
      </c>
      <c r="C15" s="43"/>
      <c r="D15" s="43" t="s">
        <v>154</v>
      </c>
      <c r="E15" s="43"/>
      <c r="F15" s="43" t="s">
        <v>154</v>
      </c>
      <c r="G15" s="43"/>
    </row>
    <row r="16" spans="1:7">
      <c r="A16" s="10" t="s">
        <v>465</v>
      </c>
      <c r="B16" s="10" t="s">
        <v>466</v>
      </c>
      <c r="C16" s="43" t="s">
        <v>154</v>
      </c>
      <c r="D16" s="43" t="s">
        <v>154</v>
      </c>
      <c r="E16" s="43" t="s">
        <v>154</v>
      </c>
      <c r="F16" s="43" t="s">
        <v>154</v>
      </c>
      <c r="G16" s="43"/>
    </row>
    <row r="17" spans="1:7">
      <c r="A17" s="10" t="s">
        <v>312</v>
      </c>
      <c r="C17" s="43">
        <v>100</v>
      </c>
      <c r="D17" s="43">
        <v>100</v>
      </c>
      <c r="E17" s="43">
        <v>100</v>
      </c>
      <c r="F17" s="43">
        <v>100</v>
      </c>
      <c r="G17" s="43"/>
    </row>
    <row r="18" spans="1:7">
      <c r="C18" s="15"/>
      <c r="D18" s="43"/>
      <c r="E18" s="43"/>
      <c r="F18" s="43"/>
      <c r="G18" s="43"/>
    </row>
    <row r="19" spans="1:7">
      <c r="C19" s="15"/>
      <c r="D19" s="43"/>
      <c r="E19" s="43"/>
      <c r="F19" s="43"/>
      <c r="G19" s="43"/>
    </row>
    <row r="20" spans="1:7">
      <c r="C20" s="15"/>
      <c r="D20" s="43"/>
      <c r="E20" s="43"/>
      <c r="F20" s="43"/>
      <c r="G20" s="43"/>
    </row>
    <row r="21" spans="1:7">
      <c r="C21" s="15"/>
      <c r="D21" s="43"/>
      <c r="E21" s="43"/>
      <c r="F21" s="43"/>
      <c r="G21" s="43"/>
    </row>
    <row r="22" spans="1:7">
      <c r="C22" s="90"/>
      <c r="D22" s="43"/>
      <c r="E22" s="43"/>
      <c r="F22" s="43"/>
      <c r="G22" s="43"/>
    </row>
    <row r="23" spans="1:7">
      <c r="C23" s="15"/>
      <c r="D23" s="43"/>
      <c r="E23" s="43"/>
      <c r="F23" s="43"/>
      <c r="G23" s="43"/>
    </row>
    <row r="24" spans="1:7">
      <c r="C24" s="15"/>
      <c r="D24" s="43"/>
      <c r="E24" s="43"/>
      <c r="F24" s="43"/>
      <c r="G24" s="43"/>
    </row>
    <row r="25" spans="1:7">
      <c r="C25" s="15"/>
      <c r="D25" s="43"/>
      <c r="E25" s="43"/>
      <c r="F25" s="43"/>
      <c r="G25" s="43"/>
    </row>
    <row r="26" spans="1:7">
      <c r="C26" s="15"/>
      <c r="D26" s="43"/>
      <c r="E26" s="43"/>
      <c r="F26" s="43"/>
      <c r="G26" s="43"/>
    </row>
    <row r="27" spans="1:7">
      <c r="C27" s="15"/>
      <c r="D27" s="43"/>
      <c r="E27" s="43"/>
      <c r="F27" s="43"/>
      <c r="G27" s="43"/>
    </row>
    <row r="28" spans="1:7">
      <c r="C28" s="90"/>
      <c r="D28" s="43"/>
      <c r="E28" s="43"/>
      <c r="F28" s="43"/>
      <c r="G28" s="43"/>
    </row>
    <row r="29" spans="1:7">
      <c r="C29" s="15"/>
      <c r="D29" s="43"/>
      <c r="E29" s="43"/>
      <c r="F29" s="43"/>
      <c r="G29" s="43"/>
    </row>
    <row r="30" spans="1:7">
      <c r="C30" s="15"/>
      <c r="D30" s="43"/>
      <c r="E30" s="43"/>
      <c r="F30" s="43"/>
      <c r="G30" s="43"/>
    </row>
    <row r="31" spans="1:7">
      <c r="C31" s="15"/>
      <c r="D31" s="43"/>
      <c r="E31" s="43"/>
      <c r="F31" s="43"/>
      <c r="G31" s="43"/>
    </row>
    <row r="32" spans="1:7">
      <c r="C32" s="15"/>
      <c r="D32" s="43"/>
      <c r="E32" s="43"/>
      <c r="F32" s="43"/>
      <c r="G32" s="43"/>
    </row>
    <row r="33" spans="3:7">
      <c r="C33" s="90"/>
      <c r="D33" s="43"/>
      <c r="E33" s="43"/>
      <c r="F33" s="43"/>
      <c r="G33" s="43"/>
    </row>
    <row r="34" spans="3:7">
      <c r="C34" s="90"/>
      <c r="D34" s="43"/>
      <c r="E34" s="43"/>
      <c r="F34" s="43"/>
      <c r="G34" s="43"/>
    </row>
    <row r="35" spans="3:7">
      <c r="C35" s="15"/>
      <c r="D35" s="43"/>
      <c r="E35" s="43"/>
      <c r="F35" s="43"/>
      <c r="G35" s="43"/>
    </row>
    <row r="36" spans="3:7">
      <c r="C36" s="15"/>
      <c r="D36" s="43"/>
      <c r="E36" s="43"/>
      <c r="F36" s="43"/>
      <c r="G36" s="43"/>
    </row>
    <row r="37" spans="3:7">
      <c r="C37" s="15"/>
      <c r="D37" s="43"/>
      <c r="E37" s="43"/>
      <c r="F37" s="43"/>
      <c r="G37" s="43"/>
    </row>
    <row r="38" spans="3:7">
      <c r="C38" s="15"/>
      <c r="D38" s="43"/>
      <c r="E38" s="43"/>
      <c r="F38" s="43"/>
      <c r="G38" s="43"/>
    </row>
    <row r="39" spans="3:7">
      <c r="C39" s="90"/>
      <c r="D39" s="43"/>
      <c r="E39" s="43"/>
      <c r="F39" s="43"/>
      <c r="G39" s="43"/>
    </row>
    <row r="40" spans="3:7">
      <c r="C40" s="90"/>
      <c r="D40" s="43"/>
      <c r="E40" s="43"/>
      <c r="F40" s="43"/>
      <c r="G40" s="43"/>
    </row>
    <row r="41" spans="3:7">
      <c r="C41" s="90"/>
      <c r="D41" s="43"/>
      <c r="E41" s="43"/>
      <c r="F41" s="43"/>
      <c r="G41" s="43"/>
    </row>
    <row r="42" spans="3:7">
      <c r="C42" s="90"/>
      <c r="D42" s="43"/>
      <c r="E42" s="43"/>
      <c r="F42" s="43"/>
      <c r="G42" s="43"/>
    </row>
    <row r="43" spans="3:7">
      <c r="D43" s="43"/>
      <c r="E43" s="43"/>
      <c r="F43" s="43"/>
      <c r="G43" s="43"/>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heetViews>
  <sheetFormatPr defaultColWidth="9.109375" defaultRowHeight="13.2"/>
  <cols>
    <col min="1" max="1" width="43.44140625" style="10" customWidth="1"/>
    <col min="2" max="16384" width="9.109375" style="10"/>
  </cols>
  <sheetData>
    <row r="1" spans="1:17">
      <c r="A1" s="11" t="s">
        <v>476</v>
      </c>
    </row>
    <row r="4" spans="1:17">
      <c r="B4" s="91"/>
      <c r="C4" s="91"/>
      <c r="D4" s="91"/>
      <c r="E4" s="91"/>
      <c r="F4" s="91"/>
      <c r="G4" s="91"/>
      <c r="H4" s="91"/>
      <c r="I4" s="91"/>
      <c r="J4" s="91"/>
      <c r="K4" s="91"/>
      <c r="L4" s="91"/>
      <c r="M4" s="91"/>
      <c r="N4" s="91"/>
      <c r="O4" s="91"/>
      <c r="P4" s="91"/>
    </row>
    <row r="5" spans="1:17">
      <c r="B5" s="16" t="s">
        <v>400</v>
      </c>
      <c r="C5" s="16"/>
      <c r="D5" s="16" t="s">
        <v>401</v>
      </c>
      <c r="E5" s="16"/>
      <c r="F5" s="16" t="s">
        <v>402</v>
      </c>
      <c r="G5" s="16"/>
      <c r="H5" s="16" t="s">
        <v>403</v>
      </c>
      <c r="I5" s="16"/>
      <c r="J5" s="16" t="s">
        <v>221</v>
      </c>
      <c r="K5" s="16"/>
      <c r="L5" s="16" t="s">
        <v>222</v>
      </c>
      <c r="M5" s="16"/>
      <c r="N5" s="16" t="s">
        <v>470</v>
      </c>
      <c r="O5" s="16"/>
      <c r="P5" s="16" t="s">
        <v>107</v>
      </c>
      <c r="Q5" s="12"/>
    </row>
    <row r="7" spans="1:17">
      <c r="A7" s="12" t="s">
        <v>471</v>
      </c>
      <c r="B7" s="12" t="s">
        <v>472</v>
      </c>
      <c r="C7" s="12" t="s">
        <v>469</v>
      </c>
      <c r="D7" s="12" t="s">
        <v>472</v>
      </c>
      <c r="E7" s="12" t="s">
        <v>469</v>
      </c>
      <c r="F7" s="12" t="s">
        <v>472</v>
      </c>
      <c r="G7" s="12" t="s">
        <v>469</v>
      </c>
      <c r="H7" s="12" t="s">
        <v>472</v>
      </c>
      <c r="I7" s="12" t="s">
        <v>469</v>
      </c>
      <c r="J7" s="12" t="s">
        <v>472</v>
      </c>
      <c r="K7" s="12" t="s">
        <v>469</v>
      </c>
      <c r="L7" s="12" t="s">
        <v>472</v>
      </c>
      <c r="M7" s="12" t="s">
        <v>469</v>
      </c>
      <c r="N7" s="12" t="s">
        <v>472</v>
      </c>
      <c r="O7" s="12" t="s">
        <v>469</v>
      </c>
      <c r="P7" s="12" t="s">
        <v>472</v>
      </c>
      <c r="Q7" s="12" t="s">
        <v>469</v>
      </c>
    </row>
    <row r="8" spans="1:17">
      <c r="A8" s="10" t="s">
        <v>375</v>
      </c>
    </row>
    <row r="9" spans="1:17">
      <c r="A9" s="10" t="s">
        <v>376</v>
      </c>
      <c r="B9" s="59"/>
      <c r="C9" s="59"/>
      <c r="D9" s="59"/>
      <c r="E9" s="59"/>
      <c r="F9" s="59"/>
      <c r="G9" s="59"/>
      <c r="H9" s="59"/>
      <c r="I9" s="59"/>
      <c r="J9" s="59"/>
      <c r="K9" s="59"/>
      <c r="L9" s="59"/>
      <c r="M9" s="59"/>
      <c r="N9" s="59"/>
      <c r="O9" s="59"/>
      <c r="P9" s="59"/>
      <c r="Q9" s="59"/>
    </row>
    <row r="10" spans="1:17">
      <c r="A10" s="10" t="s">
        <v>267</v>
      </c>
      <c r="B10" s="59"/>
      <c r="C10" s="59"/>
      <c r="D10" s="59"/>
      <c r="E10" s="59"/>
      <c r="F10" s="59"/>
      <c r="G10" s="59"/>
      <c r="H10" s="59"/>
      <c r="I10" s="59"/>
      <c r="J10" s="59"/>
      <c r="K10" s="59"/>
      <c r="L10" s="59"/>
      <c r="M10" s="59"/>
      <c r="N10" s="59"/>
      <c r="O10" s="59"/>
      <c r="P10" s="59"/>
      <c r="Q10" s="59"/>
    </row>
    <row r="11" spans="1:17">
      <c r="A11" s="10" t="s">
        <v>381</v>
      </c>
      <c r="B11" s="59"/>
      <c r="C11" s="59"/>
      <c r="D11" s="59"/>
      <c r="E11" s="59"/>
      <c r="F11" s="59"/>
      <c r="G11" s="59"/>
      <c r="H11" s="59"/>
      <c r="I11" s="59"/>
      <c r="J11" s="59"/>
      <c r="K11" s="59"/>
      <c r="L11" s="59"/>
      <c r="M11" s="59"/>
      <c r="N11" s="59"/>
      <c r="O11" s="59"/>
      <c r="P11" s="59"/>
      <c r="Q11" s="59"/>
    </row>
    <row r="12" spans="1:17">
      <c r="A12" s="10" t="s">
        <v>473</v>
      </c>
      <c r="B12" s="59"/>
      <c r="C12" s="59"/>
      <c r="D12" s="59"/>
      <c r="E12" s="59"/>
      <c r="F12" s="59"/>
      <c r="G12" s="59"/>
      <c r="H12" s="59"/>
      <c r="I12" s="59"/>
      <c r="J12" s="59"/>
      <c r="K12" s="59"/>
      <c r="L12" s="59"/>
      <c r="M12" s="59"/>
      <c r="N12" s="59"/>
      <c r="O12" s="59"/>
      <c r="P12" s="59"/>
      <c r="Q12" s="59"/>
    </row>
    <row r="13" spans="1:17">
      <c r="A13" s="10" t="s">
        <v>198</v>
      </c>
      <c r="B13" s="59"/>
      <c r="C13" s="59"/>
      <c r="D13" s="59"/>
      <c r="E13" s="59"/>
      <c r="F13" s="59"/>
      <c r="G13" s="59"/>
      <c r="H13" s="59"/>
      <c r="I13" s="59"/>
      <c r="J13" s="59"/>
      <c r="K13" s="59"/>
      <c r="L13" s="59"/>
      <c r="M13" s="59"/>
      <c r="N13" s="59"/>
      <c r="O13" s="59"/>
      <c r="P13" s="59"/>
      <c r="Q13" s="59"/>
    </row>
    <row r="14" spans="1:17">
      <c r="A14" s="10" t="s">
        <v>382</v>
      </c>
      <c r="B14" s="59"/>
      <c r="C14" s="59"/>
      <c r="D14" s="59"/>
      <c r="E14" s="59"/>
      <c r="F14" s="59"/>
      <c r="G14" s="59"/>
      <c r="H14" s="59"/>
      <c r="I14" s="59"/>
      <c r="J14" s="59"/>
      <c r="K14" s="59"/>
      <c r="L14" s="59"/>
      <c r="M14" s="59"/>
      <c r="N14" s="59"/>
      <c r="O14" s="59"/>
      <c r="P14" s="59"/>
      <c r="Q14" s="59"/>
    </row>
    <row r="15" spans="1:17">
      <c r="A15" s="10" t="s">
        <v>383</v>
      </c>
      <c r="B15" s="59"/>
      <c r="C15" s="59"/>
      <c r="D15" s="59"/>
      <c r="E15" s="59"/>
      <c r="F15" s="59"/>
      <c r="G15" s="59"/>
      <c r="H15" s="59"/>
      <c r="I15" s="59"/>
      <c r="J15" s="59"/>
      <c r="K15" s="59"/>
      <c r="L15" s="59"/>
      <c r="M15" s="59"/>
      <c r="N15" s="59"/>
      <c r="O15" s="59"/>
      <c r="P15" s="59"/>
      <c r="Q15" s="59"/>
    </row>
    <row r="16" spans="1:17">
      <c r="A16" s="10" t="s">
        <v>384</v>
      </c>
      <c r="B16" s="59"/>
      <c r="C16" s="59"/>
      <c r="D16" s="59"/>
      <c r="E16" s="59"/>
      <c r="F16" s="59"/>
      <c r="G16" s="59"/>
      <c r="H16" s="59"/>
      <c r="I16" s="59"/>
      <c r="J16" s="59"/>
      <c r="K16" s="59"/>
      <c r="L16" s="59"/>
      <c r="M16" s="59"/>
      <c r="N16" s="59"/>
      <c r="O16" s="59"/>
      <c r="P16" s="59"/>
      <c r="Q16" s="59"/>
    </row>
    <row r="17" spans="1:17">
      <c r="A17" s="10" t="s">
        <v>474</v>
      </c>
      <c r="B17" s="59"/>
      <c r="C17" s="59"/>
      <c r="D17" s="59"/>
      <c r="E17" s="59"/>
      <c r="F17" s="59"/>
      <c r="G17" s="59"/>
      <c r="H17" s="59"/>
      <c r="I17" s="59"/>
      <c r="J17" s="59"/>
      <c r="K17" s="59"/>
      <c r="L17" s="59"/>
      <c r="M17" s="59"/>
      <c r="N17" s="59"/>
      <c r="O17" s="59"/>
      <c r="P17" s="59"/>
      <c r="Q17" s="59"/>
    </row>
    <row r="18" spans="1:17">
      <c r="A18" s="10" t="s">
        <v>475</v>
      </c>
      <c r="B18" s="59"/>
      <c r="C18" s="59"/>
      <c r="D18" s="59"/>
      <c r="E18" s="59"/>
      <c r="F18" s="59"/>
      <c r="G18" s="59"/>
      <c r="H18" s="59"/>
      <c r="I18" s="59"/>
      <c r="J18" s="59"/>
      <c r="K18" s="59"/>
      <c r="L18" s="59"/>
      <c r="M18" s="59"/>
      <c r="N18" s="59"/>
      <c r="O18" s="59"/>
      <c r="P18" s="59"/>
      <c r="Q18" s="59"/>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heetViews>
  <sheetFormatPr defaultColWidth="9.109375" defaultRowHeight="13.2"/>
  <cols>
    <col min="1" max="1" width="98.44140625" style="10" customWidth="1"/>
    <col min="2" max="16384" width="9.109375" style="10"/>
  </cols>
  <sheetData>
    <row r="1" spans="1:5">
      <c r="A1" s="11" t="s">
        <v>71</v>
      </c>
      <c r="B1" s="15" t="s">
        <v>121</v>
      </c>
    </row>
    <row r="3" spans="1:5">
      <c r="A3" s="10" t="s">
        <v>72</v>
      </c>
      <c r="B3" s="10">
        <v>44</v>
      </c>
    </row>
    <row r="4" spans="1:5">
      <c r="A4" s="10" t="s">
        <v>73</v>
      </c>
      <c r="B4" s="10">
        <v>45</v>
      </c>
    </row>
    <row r="5" spans="1:5">
      <c r="A5" s="10" t="s">
        <v>74</v>
      </c>
      <c r="B5" s="10">
        <v>46</v>
      </c>
    </row>
    <row r="6" spans="1:5">
      <c r="A6" s="10" t="s">
        <v>75</v>
      </c>
      <c r="B6" s="10">
        <v>47</v>
      </c>
      <c r="E6" s="10" t="s">
        <v>1205</v>
      </c>
    </row>
    <row r="7" spans="1:5">
      <c r="A7" s="10" t="s">
        <v>76</v>
      </c>
      <c r="B7" s="10">
        <v>48</v>
      </c>
    </row>
    <row r="8" spans="1:5">
      <c r="A8" s="10" t="s">
        <v>77</v>
      </c>
      <c r="B8" s="10">
        <v>49</v>
      </c>
    </row>
    <row r="9" spans="1:5">
      <c r="A9" s="10" t="s">
        <v>78</v>
      </c>
      <c r="B9" s="10">
        <v>50</v>
      </c>
    </row>
    <row r="10" spans="1:5">
      <c r="A10" s="10" t="s">
        <v>79</v>
      </c>
      <c r="B10" s="10">
        <v>51</v>
      </c>
    </row>
    <row r="11" spans="1:5">
      <c r="A11" s="10" t="s">
        <v>80</v>
      </c>
      <c r="B11" s="10">
        <v>52</v>
      </c>
    </row>
    <row r="12" spans="1:5">
      <c r="A12" s="10" t="s">
        <v>81</v>
      </c>
      <c r="B12" s="10">
        <v>53</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L12" sqref="L12"/>
    </sheetView>
  </sheetViews>
  <sheetFormatPr defaultColWidth="9.109375" defaultRowHeight="13.2"/>
  <cols>
    <col min="1" max="1" width="4.5546875" style="10" customWidth="1"/>
    <col min="2" max="2" width="52.6640625" style="10" customWidth="1"/>
    <col min="3" max="9" width="11.6640625" style="10" customWidth="1"/>
    <col min="10" max="16384" width="9.109375" style="10"/>
  </cols>
  <sheetData>
    <row r="1" spans="1:9">
      <c r="A1" s="10">
        <v>33</v>
      </c>
      <c r="B1" s="11" t="s">
        <v>491</v>
      </c>
    </row>
    <row r="5" spans="1:9">
      <c r="B5" s="10" t="s">
        <v>172</v>
      </c>
      <c r="C5" s="289" t="s">
        <v>192</v>
      </c>
      <c r="D5" s="289" t="s">
        <v>193</v>
      </c>
      <c r="E5" s="289" t="s">
        <v>211</v>
      </c>
      <c r="F5" s="289" t="s">
        <v>212</v>
      </c>
      <c r="G5" s="289" t="s">
        <v>213</v>
      </c>
      <c r="H5" s="289" t="s">
        <v>214</v>
      </c>
      <c r="I5" s="289" t="s">
        <v>215</v>
      </c>
    </row>
    <row r="6" spans="1:9" ht="52.8">
      <c r="B6" s="12" t="s">
        <v>1369</v>
      </c>
      <c r="C6" s="49" t="s">
        <v>477</v>
      </c>
      <c r="D6" s="49" t="s">
        <v>478</v>
      </c>
      <c r="E6" s="49" t="s">
        <v>479</v>
      </c>
      <c r="F6" s="49" t="s">
        <v>480</v>
      </c>
      <c r="G6" s="49" t="s">
        <v>481</v>
      </c>
      <c r="H6" s="49" t="s">
        <v>482</v>
      </c>
      <c r="I6" s="49" t="s">
        <v>1443</v>
      </c>
    </row>
    <row r="7" spans="1:9">
      <c r="A7" s="10">
        <v>1</v>
      </c>
      <c r="B7" s="10" t="s">
        <v>483</v>
      </c>
      <c r="D7" s="43">
        <f>3989/1000</f>
        <v>3.9889999999999999</v>
      </c>
      <c r="E7" s="43">
        <f>155474/1000</f>
        <v>155.47399999999999</v>
      </c>
      <c r="F7" s="43"/>
      <c r="G7" s="43"/>
      <c r="H7" s="43">
        <f>SUM(D7:E7)</f>
        <v>159.46299999999999</v>
      </c>
      <c r="I7" s="43">
        <f>35314/1000</f>
        <v>35.314</v>
      </c>
    </row>
    <row r="8" spans="1:9">
      <c r="A8" s="10">
        <v>2</v>
      </c>
      <c r="B8" s="10" t="s">
        <v>282</v>
      </c>
      <c r="C8" s="10" t="s">
        <v>16</v>
      </c>
      <c r="D8" s="43"/>
      <c r="E8" s="43"/>
      <c r="F8" s="43"/>
      <c r="G8" s="43"/>
      <c r="H8" s="43"/>
      <c r="I8" s="43"/>
    </row>
    <row r="9" spans="1:9">
      <c r="A9" s="10">
        <v>3</v>
      </c>
      <c r="B9" s="10" t="s">
        <v>201</v>
      </c>
      <c r="D9" s="43"/>
      <c r="E9" s="43"/>
      <c r="F9" s="43"/>
      <c r="G9" s="43"/>
      <c r="H9" s="43"/>
      <c r="I9" s="43"/>
    </row>
    <row r="10" spans="1:9">
      <c r="A10" s="10">
        <v>4</v>
      </c>
      <c r="B10" s="10" t="s">
        <v>484</v>
      </c>
      <c r="D10" s="43"/>
      <c r="E10" s="43"/>
      <c r="F10" s="43"/>
      <c r="G10" s="43"/>
      <c r="H10" s="43"/>
      <c r="I10" s="43"/>
    </row>
    <row r="11" spans="1:9">
      <c r="A11" s="10">
        <v>5</v>
      </c>
      <c r="B11" s="10" t="s">
        <v>485</v>
      </c>
      <c r="D11" s="43"/>
      <c r="E11" s="43"/>
      <c r="F11" s="43"/>
      <c r="G11" s="43"/>
      <c r="H11" s="43"/>
      <c r="I11" s="43"/>
    </row>
    <row r="12" spans="1:9">
      <c r="A12" s="10">
        <v>6</v>
      </c>
      <c r="B12" s="10" t="s">
        <v>486</v>
      </c>
      <c r="D12" s="43"/>
      <c r="E12" s="43"/>
      <c r="F12" s="43"/>
      <c r="G12" s="43"/>
      <c r="H12" s="43"/>
      <c r="I12" s="43"/>
    </row>
    <row r="13" spans="1:9">
      <c r="A13" s="10">
        <v>7</v>
      </c>
      <c r="B13" s="10" t="s">
        <v>487</v>
      </c>
      <c r="D13" s="43"/>
      <c r="E13" s="43"/>
      <c r="F13" s="43"/>
      <c r="G13" s="43"/>
      <c r="H13" s="43"/>
      <c r="I13" s="43"/>
    </row>
    <row r="14" spans="1:9">
      <c r="A14" s="10">
        <v>8</v>
      </c>
      <c r="B14" s="10" t="s">
        <v>488</v>
      </c>
      <c r="D14" s="43"/>
      <c r="E14" s="43"/>
      <c r="F14" s="43"/>
      <c r="G14" s="43"/>
      <c r="H14" s="43"/>
      <c r="I14" s="43"/>
    </row>
    <row r="15" spans="1:9">
      <c r="A15" s="10">
        <v>9</v>
      </c>
      <c r="B15" s="10" t="s">
        <v>489</v>
      </c>
      <c r="D15" s="43"/>
      <c r="E15" s="43"/>
      <c r="F15" s="43"/>
      <c r="G15" s="43"/>
      <c r="H15" s="43"/>
      <c r="I15" s="43"/>
    </row>
    <row r="16" spans="1:9">
      <c r="A16" s="10">
        <v>10</v>
      </c>
      <c r="B16" s="10" t="s">
        <v>490</v>
      </c>
      <c r="D16" s="43"/>
      <c r="E16" s="43"/>
      <c r="F16" s="43"/>
      <c r="G16" s="43"/>
      <c r="H16" s="43"/>
      <c r="I16" s="43"/>
    </row>
    <row r="17" spans="1:9">
      <c r="A17" s="10">
        <v>11</v>
      </c>
      <c r="B17" s="10" t="s">
        <v>209</v>
      </c>
      <c r="D17" s="43">
        <f>3989/1000</f>
        <v>3.9889999999999999</v>
      </c>
      <c r="E17" s="43">
        <f>155474/1000</f>
        <v>155.47399999999999</v>
      </c>
      <c r="F17" s="43"/>
      <c r="G17" s="43"/>
      <c r="H17" s="43">
        <f>SUM(D17:E17)</f>
        <v>159.46299999999999</v>
      </c>
      <c r="I17" s="43">
        <f>35314/1000</f>
        <v>35.314</v>
      </c>
    </row>
    <row r="18" spans="1:9">
      <c r="I18" s="10" t="s">
        <v>16</v>
      </c>
    </row>
    <row r="20" spans="1:9">
      <c r="B20" s="12" t="s">
        <v>173</v>
      </c>
      <c r="C20" s="12"/>
      <c r="D20" s="12"/>
      <c r="E20" s="12"/>
      <c r="F20" s="12"/>
      <c r="G20" s="12"/>
      <c r="H20" s="12"/>
      <c r="I20" s="12"/>
    </row>
    <row r="21" spans="1:9" ht="52.8">
      <c r="B21" s="13" t="s">
        <v>1369</v>
      </c>
      <c r="C21" s="49" t="s">
        <v>477</v>
      </c>
      <c r="D21" s="49" t="s">
        <v>478</v>
      </c>
      <c r="E21" s="49" t="s">
        <v>479</v>
      </c>
      <c r="F21" s="49" t="s">
        <v>480</v>
      </c>
      <c r="G21" s="49" t="s">
        <v>481</v>
      </c>
      <c r="H21" s="49" t="s">
        <v>482</v>
      </c>
      <c r="I21" s="49" t="s">
        <v>1443</v>
      </c>
    </row>
    <row r="22" spans="1:9">
      <c r="A22" s="10">
        <v>1</v>
      </c>
      <c r="B22" s="10" t="s">
        <v>483</v>
      </c>
      <c r="D22" s="43">
        <f>58986/1000</f>
        <v>58.985999999999997</v>
      </c>
      <c r="E22" s="43">
        <f>275-59</f>
        <v>216</v>
      </c>
      <c r="F22" s="43"/>
      <c r="G22" s="43"/>
      <c r="H22" s="43">
        <f>274928/1000</f>
        <v>274.928</v>
      </c>
      <c r="I22" s="43">
        <f>87092/1000</f>
        <v>87.091999999999999</v>
      </c>
    </row>
    <row r="23" spans="1:9">
      <c r="A23" s="10">
        <v>2</v>
      </c>
      <c r="B23" s="10" t="s">
        <v>282</v>
      </c>
      <c r="C23" s="10" t="s">
        <v>16</v>
      </c>
      <c r="D23" s="43"/>
      <c r="E23" s="43"/>
      <c r="F23" s="43"/>
      <c r="G23" s="43"/>
      <c r="H23" s="43"/>
      <c r="I23" s="43"/>
    </row>
    <row r="24" spans="1:9">
      <c r="A24" s="10">
        <v>3</v>
      </c>
      <c r="B24" s="10" t="s">
        <v>201</v>
      </c>
      <c r="D24" s="43"/>
      <c r="E24" s="43"/>
      <c r="F24" s="43"/>
      <c r="G24" s="43"/>
      <c r="H24" s="43"/>
      <c r="I24" s="43"/>
    </row>
    <row r="25" spans="1:9">
      <c r="A25" s="10">
        <v>4</v>
      </c>
      <c r="B25" s="10" t="s">
        <v>484</v>
      </c>
      <c r="D25" s="43"/>
      <c r="E25" s="43"/>
      <c r="F25" s="43"/>
      <c r="G25" s="43"/>
      <c r="H25" s="43"/>
      <c r="I25" s="43"/>
    </row>
    <row r="26" spans="1:9">
      <c r="A26" s="10">
        <v>5</v>
      </c>
      <c r="B26" s="10" t="s">
        <v>485</v>
      </c>
      <c r="D26" s="43"/>
      <c r="E26" s="43"/>
      <c r="F26" s="43"/>
      <c r="G26" s="43"/>
      <c r="H26" s="43"/>
      <c r="I26" s="43"/>
    </row>
    <row r="27" spans="1:9">
      <c r="A27" s="10">
        <v>6</v>
      </c>
      <c r="B27" s="10" t="s">
        <v>486</v>
      </c>
      <c r="D27" s="43"/>
      <c r="E27" s="43"/>
      <c r="F27" s="43"/>
      <c r="G27" s="43"/>
      <c r="H27" s="43"/>
      <c r="I27" s="43"/>
    </row>
    <row r="28" spans="1:9">
      <c r="A28" s="10">
        <v>7</v>
      </c>
      <c r="B28" s="10" t="s">
        <v>487</v>
      </c>
      <c r="D28" s="43"/>
      <c r="E28" s="43"/>
      <c r="F28" s="43"/>
      <c r="G28" s="43"/>
      <c r="H28" s="43"/>
      <c r="I28" s="43"/>
    </row>
    <row r="29" spans="1:9">
      <c r="A29" s="10">
        <v>8</v>
      </c>
      <c r="B29" s="10" t="s">
        <v>488</v>
      </c>
      <c r="D29" s="43"/>
      <c r="E29" s="43"/>
      <c r="F29" s="43"/>
      <c r="G29" s="43"/>
      <c r="H29" s="43"/>
      <c r="I29" s="43"/>
    </row>
    <row r="30" spans="1:9">
      <c r="A30" s="10">
        <v>9</v>
      </c>
      <c r="B30" s="10" t="s">
        <v>489</v>
      </c>
      <c r="D30" s="43"/>
      <c r="E30" s="43"/>
      <c r="F30" s="43"/>
      <c r="G30" s="43"/>
      <c r="H30" s="43"/>
      <c r="I30" s="43"/>
    </row>
    <row r="31" spans="1:9">
      <c r="A31" s="10">
        <v>10</v>
      </c>
      <c r="B31" s="10" t="s">
        <v>490</v>
      </c>
      <c r="D31" s="43"/>
      <c r="E31" s="43"/>
      <c r="F31" s="43"/>
      <c r="G31" s="43"/>
      <c r="H31" s="43"/>
      <c r="I31" s="43"/>
    </row>
    <row r="32" spans="1:9">
      <c r="A32" s="10">
        <v>11</v>
      </c>
      <c r="B32" s="10" t="s">
        <v>209</v>
      </c>
      <c r="D32" s="43">
        <f>58986/1000</f>
        <v>58.985999999999997</v>
      </c>
      <c r="E32" s="43">
        <f>275-59</f>
        <v>216</v>
      </c>
      <c r="F32" s="43"/>
      <c r="G32" s="43"/>
      <c r="H32" s="43">
        <f>274928/1000</f>
        <v>274.928</v>
      </c>
      <c r="I32" s="43">
        <f>87092/1000</f>
        <v>87.091999999999999</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D17" sqref="D17"/>
    </sheetView>
  </sheetViews>
  <sheetFormatPr defaultColWidth="9.109375" defaultRowHeight="13.2"/>
  <cols>
    <col min="1" max="1" width="55.88671875" style="10" customWidth="1"/>
    <col min="2" max="2" width="9.109375" style="10"/>
    <col min="3" max="3" width="17.33203125" style="10" customWidth="1"/>
    <col min="4" max="4" width="18.5546875" style="10" customWidth="1"/>
    <col min="5" max="16384" width="9.109375" style="10"/>
  </cols>
  <sheetData>
    <row r="1" spans="1:4">
      <c r="A1" s="11" t="s">
        <v>498</v>
      </c>
    </row>
    <row r="5" spans="1:4">
      <c r="A5" s="12" t="s">
        <v>172</v>
      </c>
      <c r="B5" s="12"/>
      <c r="C5" s="16" t="s">
        <v>192</v>
      </c>
      <c r="D5" s="16" t="s">
        <v>193</v>
      </c>
    </row>
    <row r="6" spans="1:4">
      <c r="A6" s="13" t="s">
        <v>1369</v>
      </c>
      <c r="B6" s="13"/>
      <c r="C6" s="24" t="s">
        <v>492</v>
      </c>
      <c r="D6" s="24" t="s">
        <v>1443</v>
      </c>
    </row>
    <row r="7" spans="1:4">
      <c r="A7" s="10" t="s">
        <v>493</v>
      </c>
      <c r="C7" s="43"/>
      <c r="D7" s="43"/>
    </row>
    <row r="8" spans="1:4">
      <c r="A8" s="10" t="s">
        <v>494</v>
      </c>
      <c r="C8" s="43"/>
      <c r="D8" s="43"/>
    </row>
    <row r="9" spans="1:4">
      <c r="A9" s="10" t="s">
        <v>495</v>
      </c>
      <c r="C9" s="43"/>
      <c r="D9" s="43"/>
    </row>
    <row r="10" spans="1:4">
      <c r="A10" s="10" t="s">
        <v>496</v>
      </c>
      <c r="C10" s="43">
        <v>95.143840552154572</v>
      </c>
      <c r="D10" s="43">
        <v>22.214656849866326</v>
      </c>
    </row>
    <row r="11" spans="1:4">
      <c r="A11" s="10" t="s">
        <v>499</v>
      </c>
      <c r="C11" s="43"/>
      <c r="D11" s="43"/>
    </row>
    <row r="12" spans="1:4">
      <c r="A12" s="10" t="s">
        <v>497</v>
      </c>
      <c r="C12" s="43">
        <v>95.143840552154572</v>
      </c>
      <c r="D12" s="43">
        <v>22.214656849866326</v>
      </c>
    </row>
    <row r="13" spans="1:4">
      <c r="C13" s="43"/>
      <c r="D13" s="43"/>
    </row>
    <row r="14" spans="1:4">
      <c r="C14" s="43"/>
      <c r="D14" s="43"/>
    </row>
    <row r="15" spans="1:4">
      <c r="A15" s="12" t="s">
        <v>173</v>
      </c>
      <c r="B15" s="12"/>
      <c r="C15" s="44"/>
      <c r="D15" s="44"/>
    </row>
    <row r="16" spans="1:4">
      <c r="A16" s="13" t="s">
        <v>1369</v>
      </c>
      <c r="B16" s="13"/>
      <c r="C16" s="92" t="s">
        <v>492</v>
      </c>
      <c r="D16" s="92" t="s">
        <v>1443</v>
      </c>
    </row>
    <row r="17" spans="1:4">
      <c r="A17" s="10" t="s">
        <v>493</v>
      </c>
      <c r="C17" s="43"/>
      <c r="D17" s="43"/>
    </row>
    <row r="18" spans="1:4">
      <c r="A18" s="10" t="s">
        <v>494</v>
      </c>
      <c r="C18" s="43"/>
      <c r="D18" s="43"/>
    </row>
    <row r="19" spans="1:4">
      <c r="A19" s="10" t="s">
        <v>495</v>
      </c>
      <c r="C19" s="43"/>
      <c r="D19" s="43"/>
    </row>
    <row r="20" spans="1:4">
      <c r="A20" s="10" t="s">
        <v>496</v>
      </c>
      <c r="C20" s="43">
        <v>163.82773267402476</v>
      </c>
      <c r="D20" s="43">
        <v>40.743080297047307</v>
      </c>
    </row>
    <row r="21" spans="1:4">
      <c r="A21" s="10" t="s">
        <v>499</v>
      </c>
      <c r="C21" s="43"/>
      <c r="D21" s="43"/>
    </row>
    <row r="22" spans="1:4">
      <c r="A22" s="10" t="s">
        <v>497</v>
      </c>
      <c r="C22" s="43">
        <v>163.82773267402476</v>
      </c>
      <c r="D22" s="43">
        <v>40.743080297047307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sheetViews>
  <sheetFormatPr defaultColWidth="9.109375" defaultRowHeight="13.2"/>
  <cols>
    <col min="1" max="1" width="61.5546875" style="10" customWidth="1"/>
    <col min="2" max="2" width="16.44140625" style="10" customWidth="1"/>
    <col min="3" max="3" width="19.44140625" style="10" customWidth="1"/>
    <col min="4" max="16384" width="9.109375" style="10"/>
  </cols>
  <sheetData>
    <row r="1" spans="1:3">
      <c r="A1" s="11" t="s">
        <v>122</v>
      </c>
    </row>
    <row r="4" spans="1:3">
      <c r="A4" s="12" t="s">
        <v>123</v>
      </c>
      <c r="B4" s="16" t="s">
        <v>124</v>
      </c>
      <c r="C4" s="16" t="s">
        <v>125</v>
      </c>
    </row>
    <row r="5" spans="1:3">
      <c r="A5" s="10" t="s">
        <v>126</v>
      </c>
    </row>
    <row r="6" spans="1:3">
      <c r="A6" s="10" t="s">
        <v>127</v>
      </c>
      <c r="B6" s="43">
        <v>185.13164800000001</v>
      </c>
      <c r="C6" s="43">
        <v>139.99597600000001</v>
      </c>
    </row>
    <row r="7" spans="1:3">
      <c r="A7" s="10" t="s">
        <v>128</v>
      </c>
      <c r="B7" s="43">
        <v>0</v>
      </c>
      <c r="C7" s="43">
        <v>-0.19325300000000001</v>
      </c>
    </row>
    <row r="8" spans="1:3">
      <c r="A8" s="10" t="s">
        <v>129</v>
      </c>
      <c r="B8" s="43">
        <f>SUM(B6:B7)</f>
        <v>185.13164800000001</v>
      </c>
      <c r="C8" s="43">
        <f>SUM(C6:C7)</f>
        <v>139.80272300000001</v>
      </c>
    </row>
    <row r="9" spans="1:3">
      <c r="A9" s="10" t="s">
        <v>130</v>
      </c>
      <c r="B9" s="43">
        <v>0</v>
      </c>
      <c r="C9" s="43">
        <v>0</v>
      </c>
    </row>
    <row r="10" spans="1:3">
      <c r="A10" s="10" t="s">
        <v>131</v>
      </c>
      <c r="B10" s="43">
        <v>-18.3186</v>
      </c>
      <c r="C10" s="43">
        <v>-19.084372999999999</v>
      </c>
    </row>
    <row r="11" spans="1:3">
      <c r="A11" s="10" t="s">
        <v>132</v>
      </c>
      <c r="B11" s="43">
        <v>0</v>
      </c>
      <c r="C11" s="43">
        <v>0</v>
      </c>
    </row>
    <row r="12" spans="1:3">
      <c r="A12" s="10" t="s">
        <v>133</v>
      </c>
      <c r="B12" s="43">
        <v>0</v>
      </c>
      <c r="C12" s="43">
        <v>0</v>
      </c>
    </row>
    <row r="13" spans="1:3">
      <c r="A13" s="10" t="s">
        <v>134</v>
      </c>
      <c r="B13" s="43">
        <v>0</v>
      </c>
      <c r="C13" s="43">
        <v>0</v>
      </c>
    </row>
    <row r="14" spans="1:3">
      <c r="A14" s="10" t="s">
        <v>135</v>
      </c>
      <c r="B14" s="43">
        <v>0</v>
      </c>
      <c r="C14" s="43">
        <v>-0.19325300000000001</v>
      </c>
    </row>
    <row r="15" spans="1:3">
      <c r="A15" s="10" t="s">
        <v>136</v>
      </c>
      <c r="B15" s="43">
        <f>SUM(B9:B14)</f>
        <v>-18.3186</v>
      </c>
      <c r="C15" s="43">
        <f>SUM(C9:C14)</f>
        <v>-19.277625999999998</v>
      </c>
    </row>
    <row r="16" spans="1:3">
      <c r="A16" s="10" t="s">
        <v>137</v>
      </c>
      <c r="B16" s="43">
        <f>B8+B15</f>
        <v>166.81304800000001</v>
      </c>
      <c r="C16" s="43">
        <f>C8+C15</f>
        <v>120.52509700000002</v>
      </c>
    </row>
    <row r="17" spans="1:3">
      <c r="A17" s="10" t="s">
        <v>138</v>
      </c>
      <c r="B17" s="43">
        <v>20</v>
      </c>
      <c r="C17" s="43">
        <v>0</v>
      </c>
    </row>
    <row r="18" spans="1:3">
      <c r="A18" s="10" t="s">
        <v>139</v>
      </c>
      <c r="B18" s="43">
        <v>0</v>
      </c>
      <c r="C18" s="43">
        <v>0</v>
      </c>
    </row>
    <row r="19" spans="1:3">
      <c r="A19" s="10" t="s">
        <v>140</v>
      </c>
      <c r="B19" s="43">
        <f>SUM(B17:B18)</f>
        <v>20</v>
      </c>
      <c r="C19" s="43">
        <f>SUM(C17:C18)</f>
        <v>0</v>
      </c>
    </row>
    <row r="20" spans="1:3">
      <c r="A20" s="10" t="s">
        <v>141</v>
      </c>
      <c r="B20" s="43">
        <f>B16+B19</f>
        <v>186.81304800000001</v>
      </c>
      <c r="C20" s="43">
        <f>C16+C19</f>
        <v>120.52509700000002</v>
      </c>
    </row>
    <row r="21" spans="1:3">
      <c r="A21" s="10" t="s">
        <v>142</v>
      </c>
      <c r="B21" s="43">
        <v>55</v>
      </c>
      <c r="C21" s="43">
        <v>50.9</v>
      </c>
    </row>
    <row r="22" spans="1:3">
      <c r="A22" s="10" t="s">
        <v>143</v>
      </c>
      <c r="B22" s="43">
        <v>0</v>
      </c>
      <c r="C22" s="43">
        <v>0</v>
      </c>
    </row>
    <row r="23" spans="1:3">
      <c r="A23" s="10" t="s">
        <v>133</v>
      </c>
      <c r="B23" s="43">
        <v>0</v>
      </c>
      <c r="C23" s="43">
        <v>0</v>
      </c>
    </row>
    <row r="24" spans="1:3">
      <c r="A24" s="10" t="s">
        <v>144</v>
      </c>
      <c r="B24" s="43">
        <v>0</v>
      </c>
      <c r="C24" s="43">
        <v>0</v>
      </c>
    </row>
    <row r="25" spans="1:3">
      <c r="A25" s="10" t="s">
        <v>134</v>
      </c>
      <c r="B25" s="43">
        <v>0</v>
      </c>
      <c r="C25" s="43">
        <v>0</v>
      </c>
    </row>
    <row r="26" spans="1:3">
      <c r="A26" s="10" t="s">
        <v>135</v>
      </c>
      <c r="B26" s="43">
        <v>0</v>
      </c>
      <c r="C26" s="43">
        <v>0</v>
      </c>
    </row>
    <row r="27" spans="1:3">
      <c r="A27" s="10" t="s">
        <v>145</v>
      </c>
      <c r="B27" s="43">
        <f>SUM(B22:B26)</f>
        <v>0</v>
      </c>
      <c r="C27" s="43">
        <f>SUM(C22:C26)</f>
        <v>0</v>
      </c>
    </row>
    <row r="28" spans="1:3">
      <c r="A28" s="12" t="s">
        <v>146</v>
      </c>
      <c r="B28" s="44">
        <f>B21+B27</f>
        <v>55</v>
      </c>
      <c r="C28" s="44">
        <f>C21+C27</f>
        <v>50.9</v>
      </c>
    </row>
    <row r="29" spans="1:3">
      <c r="A29" s="13" t="s">
        <v>147</v>
      </c>
      <c r="B29" s="45">
        <f>B20+B28</f>
        <v>241.81304800000001</v>
      </c>
      <c r="C29" s="45">
        <f>C20+C28</f>
        <v>171.42509700000002</v>
      </c>
    </row>
    <row r="30" spans="1:3">
      <c r="B30" s="43"/>
      <c r="C30" s="43"/>
    </row>
    <row r="31" spans="1:3">
      <c r="A31" s="10" t="s">
        <v>148</v>
      </c>
      <c r="B31" s="43"/>
      <c r="C31" s="43"/>
    </row>
    <row r="32" spans="1:3">
      <c r="A32" s="10" t="s">
        <v>16</v>
      </c>
      <c r="B32" s="43"/>
      <c r="C32" s="43"/>
    </row>
    <row r="33" spans="1:3">
      <c r="A33" s="10" t="s">
        <v>16</v>
      </c>
      <c r="B33" s="43"/>
      <c r="C33" s="43"/>
    </row>
    <row r="34" spans="1:3">
      <c r="B34" s="43"/>
      <c r="C34" s="43"/>
    </row>
    <row r="35" spans="1:3">
      <c r="A35" s="10" t="s">
        <v>149</v>
      </c>
      <c r="B35" s="46"/>
      <c r="C35" s="46"/>
    </row>
    <row r="36" spans="1:3">
      <c r="A36" s="12" t="s">
        <v>123</v>
      </c>
      <c r="B36" s="47" t="s">
        <v>124</v>
      </c>
      <c r="C36" s="47" t="s">
        <v>124</v>
      </c>
    </row>
    <row r="37" spans="1:3">
      <c r="A37" s="10" t="s">
        <v>151</v>
      </c>
      <c r="B37" s="43">
        <f>B16-12.18625</f>
        <v>154.62679800000001</v>
      </c>
      <c r="C37" s="43">
        <f>C16-13.605</f>
        <v>106.92009700000001</v>
      </c>
    </row>
    <row r="38" spans="1:3">
      <c r="A38" s="10" t="s">
        <v>152</v>
      </c>
      <c r="B38" s="43">
        <f>B20-12.18625</f>
        <v>174.62679800000001</v>
      </c>
      <c r="C38" s="43">
        <f>C20-13.605</f>
        <v>106.92009700000001</v>
      </c>
    </row>
    <row r="39" spans="1:3">
      <c r="A39" s="10" t="s">
        <v>153</v>
      </c>
      <c r="B39" s="43">
        <f>B29-12.18625</f>
        <v>229.62679800000001</v>
      </c>
      <c r="C39" s="43">
        <f>C29-13.605</f>
        <v>157.82009700000003</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selection activeCell="R14" sqref="R14"/>
    </sheetView>
  </sheetViews>
  <sheetFormatPr defaultColWidth="9.109375" defaultRowHeight="13.2"/>
  <cols>
    <col min="1" max="1" width="3.5546875" style="10" customWidth="1"/>
    <col min="2" max="2" width="54.5546875" style="10" customWidth="1"/>
    <col min="3" max="16384" width="9.109375" style="10"/>
  </cols>
  <sheetData>
    <row r="1" spans="1:15">
      <c r="B1" s="11" t="s">
        <v>501</v>
      </c>
    </row>
    <row r="5" spans="1:15">
      <c r="B5" s="12" t="s">
        <v>172</v>
      </c>
      <c r="C5" s="12"/>
      <c r="D5" s="12"/>
      <c r="E5" s="12"/>
      <c r="F5" s="12"/>
      <c r="G5" s="12"/>
      <c r="H5" s="12"/>
      <c r="I5" s="12"/>
      <c r="J5" s="12"/>
      <c r="K5" s="12"/>
      <c r="L5" s="12"/>
      <c r="M5" s="12"/>
      <c r="N5" s="12"/>
      <c r="O5" s="12"/>
    </row>
    <row r="6" spans="1:15">
      <c r="B6" s="10" t="s">
        <v>1369</v>
      </c>
      <c r="C6" s="302" t="s">
        <v>273</v>
      </c>
      <c r="D6" s="302"/>
      <c r="E6" s="302"/>
      <c r="F6" s="302"/>
      <c r="G6" s="302"/>
      <c r="H6" s="302"/>
      <c r="I6" s="302"/>
      <c r="J6" s="302"/>
      <c r="K6" s="302"/>
      <c r="L6" s="302"/>
      <c r="M6" s="302"/>
      <c r="N6" s="302"/>
      <c r="O6" s="302"/>
    </row>
    <row r="7" spans="1:15">
      <c r="B7" s="12" t="s">
        <v>500</v>
      </c>
      <c r="C7" s="61">
        <v>0</v>
      </c>
      <c r="D7" s="61">
        <v>0.02</v>
      </c>
      <c r="E7" s="61">
        <v>0.04</v>
      </c>
      <c r="F7" s="61">
        <v>0.1</v>
      </c>
      <c r="G7" s="61">
        <v>0.2</v>
      </c>
      <c r="H7" s="61">
        <v>0.35</v>
      </c>
      <c r="I7" s="61">
        <v>0.5</v>
      </c>
      <c r="J7" s="61">
        <v>0.7</v>
      </c>
      <c r="K7" s="61">
        <v>0.75</v>
      </c>
      <c r="L7" s="61">
        <v>1</v>
      </c>
      <c r="M7" s="61">
        <v>1.5</v>
      </c>
      <c r="N7" s="12" t="s">
        <v>107</v>
      </c>
      <c r="O7" s="12" t="s">
        <v>209</v>
      </c>
    </row>
    <row r="8" spans="1:15">
      <c r="A8" s="10">
        <v>1</v>
      </c>
      <c r="B8" s="10" t="s">
        <v>196</v>
      </c>
      <c r="C8" s="43"/>
      <c r="D8" s="43"/>
      <c r="E8" s="43"/>
      <c r="F8" s="43"/>
      <c r="G8" s="43"/>
      <c r="H8" s="43"/>
      <c r="I8" s="43"/>
      <c r="J8" s="43"/>
      <c r="K8" s="43"/>
      <c r="L8" s="43"/>
      <c r="M8" s="43"/>
      <c r="N8" s="43"/>
      <c r="O8" s="43"/>
    </row>
    <row r="9" spans="1:15">
      <c r="A9" s="10">
        <v>2</v>
      </c>
      <c r="B9" s="10" t="s">
        <v>202</v>
      </c>
      <c r="C9" s="43"/>
      <c r="D9" s="43"/>
      <c r="E9" s="43"/>
      <c r="F9" s="43"/>
      <c r="G9" s="43"/>
      <c r="H9" s="43"/>
      <c r="I9" s="43"/>
      <c r="J9" s="43"/>
      <c r="K9" s="43"/>
      <c r="L9" s="43"/>
      <c r="M9" s="43"/>
      <c r="N9" s="43"/>
      <c r="O9" s="43"/>
    </row>
    <row r="10" spans="1:15">
      <c r="A10" s="10">
        <v>3</v>
      </c>
      <c r="B10" s="10" t="s">
        <v>203</v>
      </c>
      <c r="C10" s="43"/>
      <c r="D10" s="43"/>
      <c r="E10" s="43"/>
      <c r="F10" s="43"/>
      <c r="G10" s="43"/>
      <c r="H10" s="43"/>
      <c r="I10" s="43"/>
      <c r="J10" s="43"/>
      <c r="K10" s="43"/>
      <c r="L10" s="43"/>
      <c r="M10" s="43"/>
      <c r="N10" s="43"/>
      <c r="O10" s="43"/>
    </row>
    <row r="11" spans="1:15">
      <c r="A11" s="10">
        <v>4</v>
      </c>
      <c r="B11" s="10" t="s">
        <v>265</v>
      </c>
      <c r="C11" s="43"/>
      <c r="D11" s="43"/>
      <c r="E11" s="43"/>
      <c r="F11" s="43"/>
      <c r="G11" s="43"/>
      <c r="H11" s="43"/>
      <c r="I11" s="43"/>
      <c r="J11" s="43"/>
      <c r="K11" s="43"/>
      <c r="L11" s="43"/>
      <c r="M11" s="43"/>
      <c r="N11" s="43"/>
      <c r="O11" s="43"/>
    </row>
    <row r="12" spans="1:15">
      <c r="A12" s="10">
        <v>5</v>
      </c>
      <c r="B12" s="10" t="s">
        <v>266</v>
      </c>
      <c r="C12" s="43"/>
      <c r="D12" s="43"/>
      <c r="E12" s="43"/>
      <c r="F12" s="43"/>
      <c r="G12" s="43"/>
      <c r="H12" s="43"/>
      <c r="I12" s="43"/>
      <c r="J12" s="43"/>
      <c r="K12" s="43"/>
      <c r="L12" s="43"/>
      <c r="M12" s="43"/>
      <c r="N12" s="43"/>
      <c r="O12" s="43"/>
    </row>
    <row r="13" spans="1:15">
      <c r="A13" s="10">
        <v>6</v>
      </c>
      <c r="B13" s="10" t="s">
        <v>197</v>
      </c>
      <c r="C13" s="43"/>
      <c r="D13" s="43"/>
      <c r="E13" s="43"/>
      <c r="F13" s="43"/>
      <c r="G13" s="43">
        <f>153373.18/1000</f>
        <v>153.37317999999999</v>
      </c>
      <c r="H13" s="43"/>
      <c r="I13" s="43"/>
      <c r="J13" s="43"/>
      <c r="K13" s="43"/>
      <c r="L13" s="43"/>
      <c r="M13" s="43"/>
      <c r="N13" s="43"/>
      <c r="O13" s="43"/>
    </row>
    <row r="14" spans="1:15">
      <c r="A14" s="10">
        <v>7</v>
      </c>
      <c r="B14" s="10" t="s">
        <v>267</v>
      </c>
      <c r="C14" s="43"/>
      <c r="D14" s="43"/>
      <c r="E14" s="43"/>
      <c r="F14" s="43"/>
      <c r="G14" s="43"/>
      <c r="H14" s="43"/>
      <c r="I14" s="43"/>
      <c r="J14" s="43"/>
      <c r="K14" s="43"/>
      <c r="L14" s="43">
        <f>6090/1000</f>
        <v>6.09</v>
      </c>
      <c r="M14" s="43"/>
      <c r="N14" s="43"/>
      <c r="O14" s="43"/>
    </row>
    <row r="15" spans="1:15">
      <c r="A15" s="10">
        <v>8</v>
      </c>
      <c r="B15" s="10" t="s">
        <v>198</v>
      </c>
      <c r="C15" s="43"/>
      <c r="D15" s="43"/>
      <c r="E15" s="43"/>
      <c r="F15" s="43"/>
      <c r="G15" s="43"/>
      <c r="H15" s="43"/>
      <c r="I15" s="43"/>
      <c r="J15" s="43"/>
      <c r="K15" s="43"/>
      <c r="L15" s="43"/>
      <c r="M15" s="43"/>
      <c r="N15" s="43"/>
      <c r="O15" s="43"/>
    </row>
    <row r="16" spans="1:15">
      <c r="A16" s="10">
        <v>9</v>
      </c>
      <c r="B16" s="10" t="s">
        <v>268</v>
      </c>
      <c r="C16" s="43"/>
      <c r="D16" s="43"/>
      <c r="E16" s="43"/>
      <c r="F16" s="43"/>
      <c r="G16" s="43"/>
      <c r="H16" s="43"/>
      <c r="I16" s="43"/>
      <c r="J16" s="43"/>
      <c r="K16" s="43"/>
      <c r="L16" s="43"/>
      <c r="M16" s="43"/>
      <c r="N16" s="43"/>
      <c r="O16" s="43"/>
    </row>
    <row r="17" spans="1:15">
      <c r="A17" s="10">
        <v>10</v>
      </c>
      <c r="B17" s="10" t="s">
        <v>270</v>
      </c>
      <c r="C17" s="43"/>
      <c r="D17" s="43"/>
      <c r="E17" s="43"/>
      <c r="F17" s="43"/>
      <c r="G17" s="43"/>
      <c r="H17" s="43"/>
      <c r="I17" s="43"/>
      <c r="J17" s="43"/>
      <c r="K17" s="43"/>
      <c r="L17" s="43"/>
      <c r="M17" s="43"/>
      <c r="N17" s="43"/>
      <c r="O17" s="43"/>
    </row>
    <row r="18" spans="1:15">
      <c r="A18" s="10" t="s">
        <v>16</v>
      </c>
      <c r="B18" s="10" t="s">
        <v>205</v>
      </c>
      <c r="C18" s="43"/>
      <c r="D18" s="43"/>
      <c r="E18" s="43"/>
      <c r="F18" s="43"/>
      <c r="G18" s="43"/>
      <c r="H18" s="43"/>
      <c r="I18" s="43"/>
      <c r="J18" s="43"/>
      <c r="K18" s="43"/>
      <c r="L18" s="43"/>
      <c r="M18" s="43"/>
      <c r="N18" s="43"/>
      <c r="O18" s="43"/>
    </row>
    <row r="19" spans="1:15">
      <c r="A19" s="10">
        <v>11</v>
      </c>
      <c r="B19" s="10" t="s">
        <v>209</v>
      </c>
      <c r="C19" s="43"/>
      <c r="D19" s="43"/>
      <c r="E19" s="43"/>
      <c r="F19" s="43"/>
      <c r="G19" s="43">
        <v>153</v>
      </c>
      <c r="H19" s="43"/>
      <c r="I19" s="43"/>
      <c r="J19" s="43"/>
      <c r="K19" s="43"/>
      <c r="L19" s="43">
        <v>6</v>
      </c>
      <c r="M19" s="43"/>
      <c r="N19" s="43"/>
      <c r="O19" s="43"/>
    </row>
    <row r="23" spans="1:15">
      <c r="B23" s="12" t="s">
        <v>173</v>
      </c>
      <c r="C23" s="12"/>
      <c r="D23" s="12"/>
      <c r="E23" s="12"/>
      <c r="F23" s="12"/>
      <c r="G23" s="12"/>
      <c r="H23" s="12"/>
      <c r="I23" s="12"/>
      <c r="J23" s="12"/>
      <c r="K23" s="12"/>
      <c r="L23" s="12"/>
      <c r="M23" s="12"/>
      <c r="N23" s="12"/>
      <c r="O23" s="12"/>
    </row>
    <row r="24" spans="1:15">
      <c r="B24" s="10" t="s">
        <v>1369</v>
      </c>
      <c r="C24" s="302" t="s">
        <v>273</v>
      </c>
      <c r="D24" s="302"/>
      <c r="E24" s="302"/>
      <c r="F24" s="302"/>
      <c r="G24" s="302"/>
      <c r="H24" s="302"/>
      <c r="I24" s="302"/>
      <c r="J24" s="302"/>
      <c r="K24" s="302"/>
      <c r="L24" s="302"/>
      <c r="M24" s="302"/>
      <c r="N24" s="302"/>
      <c r="O24" s="302"/>
    </row>
    <row r="25" spans="1:15">
      <c r="B25" s="12" t="s">
        <v>500</v>
      </c>
      <c r="C25" s="61">
        <v>0</v>
      </c>
      <c r="D25" s="61">
        <v>0.02</v>
      </c>
      <c r="E25" s="61">
        <v>0.04</v>
      </c>
      <c r="F25" s="61">
        <v>0.1</v>
      </c>
      <c r="G25" s="61">
        <v>0.2</v>
      </c>
      <c r="H25" s="61">
        <v>0.35</v>
      </c>
      <c r="I25" s="61">
        <v>0.5</v>
      </c>
      <c r="J25" s="61">
        <v>0.7</v>
      </c>
      <c r="K25" s="61">
        <v>0.75</v>
      </c>
      <c r="L25" s="61">
        <v>1</v>
      </c>
      <c r="M25" s="61">
        <v>1.5</v>
      </c>
      <c r="N25" s="12" t="s">
        <v>107</v>
      </c>
      <c r="O25" s="12" t="s">
        <v>209</v>
      </c>
    </row>
    <row r="26" spans="1:15">
      <c r="A26" s="10">
        <v>1</v>
      </c>
      <c r="B26" s="10" t="s">
        <v>196</v>
      </c>
      <c r="C26" s="43"/>
      <c r="D26" s="43"/>
      <c r="E26" s="43"/>
      <c r="F26" s="43"/>
      <c r="G26" s="43"/>
      <c r="H26" s="43"/>
      <c r="I26" s="43"/>
      <c r="J26" s="43"/>
      <c r="K26" s="43"/>
      <c r="L26" s="43"/>
      <c r="M26" s="43"/>
      <c r="N26" s="43"/>
      <c r="O26" s="43"/>
    </row>
    <row r="27" spans="1:15">
      <c r="A27" s="10">
        <v>2</v>
      </c>
      <c r="B27" s="10" t="s">
        <v>202</v>
      </c>
      <c r="C27" s="43"/>
      <c r="D27" s="43"/>
      <c r="E27" s="43"/>
      <c r="F27" s="43"/>
      <c r="G27" s="43"/>
      <c r="H27" s="43"/>
      <c r="I27" s="43"/>
      <c r="J27" s="43"/>
      <c r="K27" s="43"/>
      <c r="L27" s="43"/>
      <c r="M27" s="43"/>
      <c r="N27" s="43"/>
      <c r="O27" s="43"/>
    </row>
    <row r="28" spans="1:15">
      <c r="A28" s="10">
        <v>3</v>
      </c>
      <c r="B28" s="10" t="s">
        <v>203</v>
      </c>
      <c r="C28" s="43"/>
      <c r="D28" s="43"/>
      <c r="E28" s="43"/>
      <c r="F28" s="43"/>
      <c r="G28" s="43"/>
      <c r="H28" s="43"/>
      <c r="I28" s="43"/>
      <c r="J28" s="43"/>
      <c r="K28" s="43"/>
      <c r="L28" s="43"/>
      <c r="M28" s="43"/>
      <c r="N28" s="43"/>
      <c r="O28" s="43"/>
    </row>
    <row r="29" spans="1:15">
      <c r="A29" s="10">
        <v>4</v>
      </c>
      <c r="B29" s="10" t="s">
        <v>265</v>
      </c>
      <c r="C29" s="43"/>
      <c r="D29" s="43"/>
      <c r="E29" s="43"/>
      <c r="F29" s="43"/>
      <c r="G29" s="43"/>
      <c r="H29" s="43"/>
      <c r="I29" s="43"/>
      <c r="J29" s="43"/>
      <c r="K29" s="43"/>
      <c r="L29" s="43"/>
      <c r="M29" s="43"/>
      <c r="N29" s="43"/>
      <c r="O29" s="43"/>
    </row>
    <row r="30" spans="1:15">
      <c r="A30" s="10">
        <v>5</v>
      </c>
      <c r="B30" s="10" t="s">
        <v>266</v>
      </c>
      <c r="C30" s="43"/>
      <c r="D30" s="43"/>
      <c r="E30" s="43"/>
      <c r="F30" s="43"/>
      <c r="G30" s="43"/>
      <c r="H30" s="43"/>
      <c r="I30" s="43"/>
      <c r="J30" s="43"/>
      <c r="K30" s="43"/>
      <c r="L30" s="43"/>
      <c r="M30" s="43"/>
      <c r="N30" s="43"/>
      <c r="O30" s="43"/>
    </row>
    <row r="31" spans="1:15">
      <c r="A31" s="10">
        <v>6</v>
      </c>
      <c r="B31" s="10" t="s">
        <v>197</v>
      </c>
      <c r="C31" s="43"/>
      <c r="D31" s="43"/>
      <c r="E31" s="43"/>
      <c r="F31" s="43"/>
      <c r="G31" s="43">
        <f>217789/1000</f>
        <v>217.78899999999999</v>
      </c>
      <c r="H31" s="43"/>
      <c r="I31" s="43"/>
      <c r="J31" s="43"/>
      <c r="K31" s="43"/>
      <c r="L31" s="43"/>
      <c r="M31" s="43"/>
      <c r="N31" s="43"/>
      <c r="O31" s="43"/>
    </row>
    <row r="32" spans="1:15">
      <c r="A32" s="10">
        <v>7</v>
      </c>
      <c r="B32" s="10" t="s">
        <v>267</v>
      </c>
      <c r="C32" s="43"/>
      <c r="D32" s="43"/>
      <c r="E32" s="43"/>
      <c r="F32" s="43"/>
      <c r="G32" s="43"/>
      <c r="H32" s="43"/>
      <c r="I32" s="43"/>
      <c r="J32" s="43"/>
      <c r="K32" s="43"/>
      <c r="L32" s="43">
        <f>57138.98/1000</f>
        <v>57.138980000000004</v>
      </c>
      <c r="M32" s="43"/>
      <c r="N32" s="43"/>
      <c r="O32" s="43"/>
    </row>
    <row r="33" spans="1:15">
      <c r="A33" s="10">
        <v>8</v>
      </c>
      <c r="B33" s="10" t="s">
        <v>198</v>
      </c>
      <c r="C33" s="43"/>
      <c r="D33" s="43"/>
      <c r="E33" s="43"/>
      <c r="F33" s="43"/>
      <c r="G33" s="43"/>
      <c r="H33" s="43"/>
      <c r="I33" s="43"/>
      <c r="J33" s="43"/>
      <c r="K33" s="43"/>
      <c r="L33" s="43"/>
      <c r="M33" s="43"/>
      <c r="N33" s="43"/>
      <c r="O33" s="43"/>
    </row>
    <row r="34" spans="1:15">
      <c r="A34" s="10">
        <v>9</v>
      </c>
      <c r="B34" s="10" t="s">
        <v>268</v>
      </c>
      <c r="C34" s="43"/>
      <c r="D34" s="43"/>
      <c r="E34" s="43"/>
      <c r="F34" s="43"/>
      <c r="G34" s="43"/>
      <c r="H34" s="43"/>
      <c r="I34" s="43"/>
      <c r="J34" s="43"/>
      <c r="K34" s="43"/>
      <c r="L34" s="43"/>
      <c r="M34" s="43"/>
      <c r="N34" s="43"/>
      <c r="O34" s="43"/>
    </row>
    <row r="35" spans="1:15">
      <c r="A35" s="10">
        <v>10</v>
      </c>
      <c r="B35" s="10" t="s">
        <v>270</v>
      </c>
      <c r="C35" s="43"/>
      <c r="D35" s="43"/>
      <c r="E35" s="43"/>
      <c r="F35" s="43"/>
      <c r="G35" s="43"/>
      <c r="H35" s="43"/>
      <c r="I35" s="43"/>
      <c r="J35" s="43"/>
      <c r="K35" s="43"/>
      <c r="L35" s="43"/>
      <c r="M35" s="43"/>
      <c r="N35" s="43"/>
      <c r="O35" s="43"/>
    </row>
    <row r="36" spans="1:15">
      <c r="A36" s="10" t="s">
        <v>16</v>
      </c>
      <c r="B36" s="10" t="s">
        <v>205</v>
      </c>
      <c r="C36" s="43"/>
      <c r="D36" s="43"/>
      <c r="E36" s="43"/>
      <c r="F36" s="43"/>
      <c r="G36" s="43"/>
      <c r="H36" s="43"/>
      <c r="I36" s="43"/>
      <c r="J36" s="43"/>
      <c r="K36" s="43"/>
      <c r="L36" s="43"/>
      <c r="M36" s="43"/>
      <c r="N36" s="43"/>
      <c r="O36" s="43"/>
    </row>
    <row r="37" spans="1:15">
      <c r="A37" s="10">
        <v>11</v>
      </c>
      <c r="B37" s="10" t="s">
        <v>209</v>
      </c>
      <c r="C37" s="43"/>
      <c r="D37" s="43"/>
      <c r="E37" s="43"/>
      <c r="F37" s="43"/>
      <c r="G37" s="43">
        <v>218</v>
      </c>
      <c r="H37" s="43"/>
      <c r="I37" s="43"/>
      <c r="J37" s="43"/>
      <c r="K37" s="43"/>
      <c r="L37" s="43">
        <v>57</v>
      </c>
      <c r="M37" s="43"/>
      <c r="N37" s="43"/>
      <c r="O37" s="43"/>
    </row>
  </sheetData>
  <mergeCells count="2">
    <mergeCell ref="C6:O6"/>
    <mergeCell ref="C24:O24"/>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K16" sqref="K16"/>
    </sheetView>
  </sheetViews>
  <sheetFormatPr defaultColWidth="9.109375" defaultRowHeight="13.2"/>
  <cols>
    <col min="1" max="1" width="30" style="10" customWidth="1"/>
    <col min="2" max="8" width="14" style="10" customWidth="1"/>
    <col min="9" max="16384" width="9.109375" style="10"/>
  </cols>
  <sheetData>
    <row r="1" spans="1:8">
      <c r="A1" s="11" t="s">
        <v>504</v>
      </c>
    </row>
    <row r="5" spans="1:8">
      <c r="A5" s="10" t="s">
        <v>154</v>
      </c>
      <c r="B5" s="52" t="s">
        <v>192</v>
      </c>
      <c r="C5" s="52" t="s">
        <v>193</v>
      </c>
      <c r="D5" s="52" t="s">
        <v>211</v>
      </c>
      <c r="E5" s="52" t="s">
        <v>212</v>
      </c>
      <c r="F5" s="52" t="s">
        <v>213</v>
      </c>
      <c r="G5" s="52" t="s">
        <v>214</v>
      </c>
      <c r="H5" s="52" t="s">
        <v>215</v>
      </c>
    </row>
    <row r="6" spans="1:8" ht="26.4">
      <c r="A6" s="12" t="s">
        <v>281</v>
      </c>
      <c r="B6" s="22" t="s">
        <v>502</v>
      </c>
      <c r="C6" s="22" t="s">
        <v>286</v>
      </c>
      <c r="D6" s="22" t="s">
        <v>356</v>
      </c>
      <c r="E6" s="22" t="s">
        <v>288</v>
      </c>
      <c r="F6" s="22" t="s">
        <v>289</v>
      </c>
      <c r="G6" s="22" t="s">
        <v>184</v>
      </c>
      <c r="H6" s="22" t="s">
        <v>264</v>
      </c>
    </row>
    <row r="7" spans="1:8">
      <c r="A7" s="10" t="s">
        <v>503</v>
      </c>
    </row>
    <row r="8" spans="1:8">
      <c r="A8" s="10" t="s">
        <v>293</v>
      </c>
      <c r="B8" s="43"/>
      <c r="C8" s="59"/>
      <c r="D8" s="43"/>
      <c r="E8" s="59"/>
      <c r="F8" s="39"/>
      <c r="G8" s="43"/>
      <c r="H8" s="57"/>
    </row>
    <row r="9" spans="1:8">
      <c r="A9" s="10" t="s">
        <v>294</v>
      </c>
      <c r="B9" s="43"/>
      <c r="C9" s="59"/>
      <c r="D9" s="43"/>
      <c r="E9" s="59"/>
      <c r="F9" s="39"/>
      <c r="G9" s="43"/>
      <c r="H9" s="57"/>
    </row>
    <row r="10" spans="1:8">
      <c r="A10" s="10" t="s">
        <v>295</v>
      </c>
      <c r="B10" s="43"/>
      <c r="C10" s="59"/>
      <c r="D10" s="43"/>
      <c r="E10" s="59"/>
      <c r="F10" s="39"/>
      <c r="G10" s="43"/>
      <c r="H10" s="57"/>
    </row>
    <row r="11" spans="1:8">
      <c r="A11" s="10" t="s">
        <v>296</v>
      </c>
      <c r="B11" s="43"/>
      <c r="C11" s="59"/>
      <c r="D11" s="43"/>
      <c r="E11" s="59"/>
      <c r="F11" s="39"/>
      <c r="G11" s="43"/>
      <c r="H11" s="57"/>
    </row>
    <row r="12" spans="1:8">
      <c r="A12" s="10" t="s">
        <v>297</v>
      </c>
      <c r="B12" s="43"/>
      <c r="C12" s="59"/>
      <c r="D12" s="43"/>
      <c r="E12" s="59"/>
      <c r="F12" s="39"/>
      <c r="G12" s="43"/>
      <c r="H12" s="57"/>
    </row>
    <row r="13" spans="1:8">
      <c r="A13" s="10" t="s">
        <v>298</v>
      </c>
      <c r="B13" s="43"/>
      <c r="C13" s="59"/>
      <c r="D13" s="43"/>
      <c r="E13" s="59"/>
      <c r="F13" s="39"/>
      <c r="G13" s="43"/>
      <c r="H13" s="57"/>
    </row>
    <row r="14" spans="1:8">
      <c r="A14" s="10" t="s">
        <v>299</v>
      </c>
      <c r="B14" s="43"/>
      <c r="C14" s="59"/>
      <c r="D14" s="43"/>
      <c r="E14" s="59"/>
      <c r="F14" s="39"/>
      <c r="G14" s="43"/>
      <c r="H14" s="57"/>
    </row>
    <row r="15" spans="1:8">
      <c r="A15" s="10" t="s">
        <v>300</v>
      </c>
      <c r="B15" s="43"/>
      <c r="C15" s="59"/>
      <c r="D15" s="43"/>
      <c r="E15" s="59"/>
      <c r="F15" s="39"/>
      <c r="G15" s="43"/>
      <c r="H15" s="57"/>
    </row>
    <row r="16" spans="1:8">
      <c r="A16" s="10" t="s">
        <v>503</v>
      </c>
      <c r="B16" s="43"/>
      <c r="C16" s="59"/>
      <c r="D16" s="43"/>
      <c r="E16" s="59"/>
      <c r="F16" s="39"/>
      <c r="G16" s="43"/>
      <c r="H16" s="57"/>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sqref="A1:XFD1048576"/>
    </sheetView>
  </sheetViews>
  <sheetFormatPr defaultColWidth="9.109375" defaultRowHeight="13.2"/>
  <cols>
    <col min="1" max="1" width="4" style="10" customWidth="1"/>
    <col min="2" max="2" width="34.6640625" style="10" customWidth="1"/>
    <col min="3" max="7" width="14.5546875" style="10" customWidth="1"/>
    <col min="8" max="16384" width="9.109375" style="10"/>
  </cols>
  <sheetData>
    <row r="1" spans="1:7">
      <c r="B1" s="11" t="s">
        <v>512</v>
      </c>
    </row>
    <row r="4" spans="1:7">
      <c r="B4" s="13" t="s">
        <v>172</v>
      </c>
      <c r="C4" s="13" t="s">
        <v>192</v>
      </c>
      <c r="D4" s="13" t="s">
        <v>193</v>
      </c>
      <c r="E4" s="13" t="s">
        <v>211</v>
      </c>
      <c r="F4" s="13" t="s">
        <v>212</v>
      </c>
      <c r="G4" s="13" t="s">
        <v>213</v>
      </c>
    </row>
    <row r="5" spans="1:7" ht="39.6">
      <c r="B5" s="13" t="s">
        <v>1369</v>
      </c>
      <c r="C5" s="49" t="s">
        <v>505</v>
      </c>
      <c r="D5" s="49" t="s">
        <v>506</v>
      </c>
      <c r="E5" s="49" t="s">
        <v>507</v>
      </c>
      <c r="F5" s="49" t="s">
        <v>508</v>
      </c>
      <c r="G5" s="49" t="s">
        <v>509</v>
      </c>
    </row>
    <row r="6" spans="1:7">
      <c r="A6" s="10">
        <v>1</v>
      </c>
      <c r="B6" s="10" t="s">
        <v>510</v>
      </c>
      <c r="C6" s="43">
        <v>159</v>
      </c>
      <c r="D6" s="43"/>
      <c r="E6" s="43"/>
      <c r="F6" s="43"/>
      <c r="G6" s="43">
        <v>159</v>
      </c>
    </row>
    <row r="7" spans="1:7">
      <c r="A7" s="10">
        <v>2</v>
      </c>
      <c r="B7" s="10" t="s">
        <v>485</v>
      </c>
      <c r="C7" s="43"/>
      <c r="D7" s="43"/>
      <c r="E7" s="43"/>
      <c r="F7" s="43"/>
      <c r="G7" s="43"/>
    </row>
    <row r="8" spans="1:7">
      <c r="A8" s="10">
        <v>3</v>
      </c>
      <c r="B8" s="10" t="s">
        <v>511</v>
      </c>
      <c r="C8" s="43"/>
      <c r="D8" s="43"/>
      <c r="E8" s="43"/>
      <c r="F8" s="43"/>
      <c r="G8" s="43"/>
    </row>
    <row r="9" spans="1:7">
      <c r="A9" s="10">
        <v>4</v>
      </c>
      <c r="B9" s="10" t="s">
        <v>209</v>
      </c>
      <c r="C9" s="43">
        <v>159</v>
      </c>
      <c r="D9" s="43"/>
      <c r="E9" s="43"/>
      <c r="F9" s="43"/>
      <c r="G9" s="43">
        <v>159</v>
      </c>
    </row>
    <row r="10" spans="1:7">
      <c r="C10" s="43"/>
      <c r="D10" s="43"/>
      <c r="E10" s="43"/>
      <c r="F10" s="43"/>
      <c r="G10" s="43"/>
    </row>
    <row r="11" spans="1:7">
      <c r="C11" s="43"/>
      <c r="D11" s="43"/>
      <c r="E11" s="43"/>
      <c r="F11" s="43"/>
      <c r="G11" s="43"/>
    </row>
    <row r="12" spans="1:7">
      <c r="B12" s="10" t="s">
        <v>173</v>
      </c>
      <c r="C12" s="43"/>
      <c r="D12" s="43"/>
      <c r="E12" s="43"/>
      <c r="F12" s="43"/>
      <c r="G12" s="43"/>
    </row>
    <row r="13" spans="1:7" ht="39.6">
      <c r="B13" s="13" t="s">
        <v>1369</v>
      </c>
      <c r="C13" s="66" t="s">
        <v>505</v>
      </c>
      <c r="D13" s="66" t="s">
        <v>506</v>
      </c>
      <c r="E13" s="66" t="s">
        <v>507</v>
      </c>
      <c r="F13" s="66" t="s">
        <v>508</v>
      </c>
      <c r="G13" s="66" t="s">
        <v>509</v>
      </c>
    </row>
    <row r="14" spans="1:7">
      <c r="A14" s="10">
        <v>1</v>
      </c>
      <c r="B14" s="10" t="s">
        <v>510</v>
      </c>
      <c r="C14" s="43">
        <v>275</v>
      </c>
      <c r="D14" s="43"/>
      <c r="E14" s="43"/>
      <c r="F14" s="43"/>
      <c r="G14" s="43">
        <v>275</v>
      </c>
    </row>
    <row r="15" spans="1:7">
      <c r="A15" s="10">
        <v>2</v>
      </c>
      <c r="B15" s="10" t="s">
        <v>485</v>
      </c>
      <c r="C15" s="43"/>
      <c r="D15" s="43"/>
      <c r="E15" s="43"/>
      <c r="F15" s="43"/>
      <c r="G15" s="43"/>
    </row>
    <row r="16" spans="1:7">
      <c r="A16" s="10">
        <v>3</v>
      </c>
      <c r="B16" s="10" t="s">
        <v>511</v>
      </c>
      <c r="C16" s="43"/>
      <c r="D16" s="43"/>
      <c r="E16" s="43"/>
      <c r="F16" s="43"/>
      <c r="G16" s="43"/>
    </row>
    <row r="17" spans="1:7">
      <c r="A17" s="10">
        <v>4</v>
      </c>
      <c r="B17" s="10" t="s">
        <v>209</v>
      </c>
      <c r="C17" s="43">
        <v>275</v>
      </c>
      <c r="D17" s="43"/>
      <c r="E17" s="43"/>
      <c r="F17" s="43"/>
      <c r="G17" s="43">
        <v>275</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7"/>
  <sheetViews>
    <sheetView workbookViewId="0">
      <selection activeCell="D22" sqref="D22:H27"/>
    </sheetView>
  </sheetViews>
  <sheetFormatPr defaultColWidth="9.109375" defaultRowHeight="13.2"/>
  <cols>
    <col min="1" max="1" width="5.109375" style="10" customWidth="1"/>
    <col min="2" max="2" width="23" style="10" customWidth="1"/>
    <col min="3" max="3" width="17.109375" style="10" customWidth="1"/>
    <col min="4" max="4" width="18" style="10" customWidth="1"/>
    <col min="5" max="5" width="12.5546875" style="10" customWidth="1"/>
    <col min="6" max="6" width="14.5546875" style="10" customWidth="1"/>
    <col min="7" max="8" width="12.5546875" style="10" customWidth="1"/>
    <col min="9" max="16384" width="9.109375" style="10"/>
  </cols>
  <sheetData>
    <row r="1" spans="2:8">
      <c r="B1" s="11" t="s">
        <v>523</v>
      </c>
    </row>
    <row r="5" spans="2:8">
      <c r="B5" s="12" t="s">
        <v>172</v>
      </c>
      <c r="C5" s="12" t="s">
        <v>192</v>
      </c>
      <c r="D5" s="12" t="s">
        <v>193</v>
      </c>
      <c r="E5" s="12" t="s">
        <v>211</v>
      </c>
      <c r="F5" s="12" t="s">
        <v>212</v>
      </c>
      <c r="G5" s="12" t="s">
        <v>213</v>
      </c>
      <c r="H5" s="12" t="s">
        <v>214</v>
      </c>
    </row>
    <row r="6" spans="2:8">
      <c r="C6" s="302" t="s">
        <v>513</v>
      </c>
      <c r="D6" s="302"/>
      <c r="E6" s="302"/>
      <c r="F6" s="302"/>
      <c r="G6" s="302" t="s">
        <v>514</v>
      </c>
      <c r="H6" s="302"/>
    </row>
    <row r="7" spans="2:8">
      <c r="B7" s="12"/>
      <c r="C7" s="302" t="s">
        <v>515</v>
      </c>
      <c r="D7" s="302"/>
      <c r="E7" s="302" t="s">
        <v>516</v>
      </c>
      <c r="F7" s="302"/>
      <c r="G7" s="307" t="s">
        <v>515</v>
      </c>
      <c r="H7" s="307" t="s">
        <v>516</v>
      </c>
    </row>
    <row r="8" spans="2:8">
      <c r="B8" s="12" t="s">
        <v>123</v>
      </c>
      <c r="C8" s="12" t="s">
        <v>517</v>
      </c>
      <c r="D8" s="12" t="s">
        <v>518</v>
      </c>
      <c r="E8" s="12" t="s">
        <v>517</v>
      </c>
      <c r="F8" s="12" t="s">
        <v>518</v>
      </c>
      <c r="G8" s="312"/>
      <c r="H8" s="312"/>
    </row>
    <row r="9" spans="2:8">
      <c r="B9" s="10" t="s">
        <v>519</v>
      </c>
      <c r="C9" s="43"/>
      <c r="D9" s="43"/>
      <c r="E9" s="43"/>
      <c r="F9" s="43"/>
      <c r="G9" s="43"/>
      <c r="H9" s="43"/>
    </row>
    <row r="10" spans="2:8">
      <c r="B10" s="10" t="s">
        <v>520</v>
      </c>
      <c r="C10" s="43"/>
      <c r="D10" s="43"/>
      <c r="E10" s="43"/>
      <c r="F10" s="43"/>
      <c r="G10" s="43"/>
      <c r="H10" s="43"/>
    </row>
    <row r="11" spans="2:8">
      <c r="B11" s="10" t="s">
        <v>521</v>
      </c>
      <c r="C11" s="43"/>
      <c r="D11" s="43"/>
      <c r="E11" s="43"/>
      <c r="F11" s="43"/>
      <c r="G11" s="43"/>
      <c r="H11" s="43"/>
    </row>
    <row r="12" spans="2:8">
      <c r="B12" s="10" t="s">
        <v>522</v>
      </c>
      <c r="C12" s="43"/>
      <c r="D12" s="43"/>
      <c r="E12" s="43"/>
      <c r="F12" s="43"/>
      <c r="G12" s="43"/>
      <c r="H12" s="43"/>
    </row>
    <row r="13" spans="2:8">
      <c r="B13" s="10" t="s">
        <v>199</v>
      </c>
      <c r="C13" s="43"/>
      <c r="D13" s="43"/>
      <c r="E13" s="43"/>
      <c r="F13" s="43"/>
      <c r="G13" s="43"/>
      <c r="H13" s="43"/>
    </row>
    <row r="14" spans="2:8">
      <c r="B14" s="10" t="s">
        <v>107</v>
      </c>
      <c r="C14" s="43"/>
      <c r="D14" s="43"/>
      <c r="E14" s="43"/>
      <c r="F14" s="43"/>
      <c r="G14" s="43"/>
      <c r="H14" s="43"/>
    </row>
    <row r="15" spans="2:8">
      <c r="B15" s="10" t="s">
        <v>209</v>
      </c>
      <c r="C15" s="43" t="s">
        <v>16</v>
      </c>
      <c r="D15" s="43"/>
      <c r="E15" s="43"/>
      <c r="F15" s="43"/>
      <c r="G15" s="43"/>
      <c r="H15" s="43"/>
    </row>
    <row r="16" spans="2:8">
      <c r="C16" s="43"/>
      <c r="D16" s="43"/>
      <c r="E16" s="43"/>
      <c r="F16" s="43"/>
      <c r="G16" s="43"/>
      <c r="H16" s="43"/>
    </row>
    <row r="17" spans="2:8">
      <c r="C17" s="43"/>
      <c r="D17" s="43"/>
      <c r="E17" s="43"/>
      <c r="F17" s="43"/>
      <c r="G17" s="43"/>
      <c r="H17" s="43"/>
    </row>
    <row r="18" spans="2:8">
      <c r="B18" s="12" t="s">
        <v>173</v>
      </c>
      <c r="C18" s="44"/>
      <c r="D18" s="44"/>
      <c r="E18" s="44"/>
      <c r="F18" s="44"/>
      <c r="G18" s="44"/>
      <c r="H18" s="44"/>
    </row>
    <row r="19" spans="2:8">
      <c r="C19" s="320" t="s">
        <v>513</v>
      </c>
      <c r="D19" s="320"/>
      <c r="E19" s="320"/>
      <c r="F19" s="320"/>
      <c r="G19" s="320" t="s">
        <v>514</v>
      </c>
      <c r="H19" s="320"/>
    </row>
    <row r="20" spans="2:8">
      <c r="B20" s="20"/>
      <c r="C20" s="320" t="s">
        <v>515</v>
      </c>
      <c r="D20" s="320"/>
      <c r="E20" s="320" t="s">
        <v>516</v>
      </c>
      <c r="F20" s="320"/>
      <c r="G20" s="321" t="s">
        <v>515</v>
      </c>
      <c r="H20" s="321" t="s">
        <v>516</v>
      </c>
    </row>
    <row r="21" spans="2:8">
      <c r="B21" s="12" t="s">
        <v>123</v>
      </c>
      <c r="C21" s="44" t="s">
        <v>517</v>
      </c>
      <c r="D21" s="44" t="s">
        <v>518</v>
      </c>
      <c r="E21" s="44" t="s">
        <v>517</v>
      </c>
      <c r="F21" s="44" t="s">
        <v>518</v>
      </c>
      <c r="G21" s="322"/>
      <c r="H21" s="322"/>
    </row>
    <row r="22" spans="2:8">
      <c r="B22" s="10" t="s">
        <v>519</v>
      </c>
      <c r="C22" s="43"/>
      <c r="D22" s="43"/>
      <c r="E22" s="43"/>
      <c r="F22" s="43"/>
      <c r="G22" s="43"/>
      <c r="H22" s="43"/>
    </row>
    <row r="23" spans="2:8">
      <c r="B23" s="10" t="s">
        <v>520</v>
      </c>
      <c r="C23" s="43" t="s">
        <v>16</v>
      </c>
      <c r="D23" s="43"/>
      <c r="E23" s="43"/>
      <c r="F23" s="43"/>
      <c r="G23" s="43"/>
      <c r="H23" s="43"/>
    </row>
    <row r="24" spans="2:8">
      <c r="B24" s="10" t="s">
        <v>521</v>
      </c>
      <c r="C24" s="43" t="s">
        <v>16</v>
      </c>
      <c r="D24" s="43"/>
      <c r="E24" s="43"/>
      <c r="F24" s="43"/>
      <c r="G24" s="43"/>
      <c r="H24" s="43"/>
    </row>
    <row r="25" spans="2:8">
      <c r="B25" s="10" t="s">
        <v>522</v>
      </c>
      <c r="C25" s="43" t="s">
        <v>16</v>
      </c>
      <c r="D25" s="43"/>
      <c r="E25" s="43"/>
      <c r="F25" s="43"/>
      <c r="G25" s="43"/>
      <c r="H25" s="43"/>
    </row>
    <row r="26" spans="2:8">
      <c r="B26" s="10" t="s">
        <v>199</v>
      </c>
      <c r="C26" s="43" t="s">
        <v>16</v>
      </c>
      <c r="D26" s="43"/>
      <c r="E26" s="43"/>
      <c r="F26" s="43"/>
      <c r="G26" s="43"/>
      <c r="H26" s="43"/>
    </row>
    <row r="27" spans="2:8">
      <c r="B27" s="10" t="s">
        <v>209</v>
      </c>
      <c r="C27" s="43" t="s">
        <v>16</v>
      </c>
      <c r="D27" s="43"/>
      <c r="E27" s="43"/>
      <c r="F27" s="43"/>
      <c r="G27" s="43"/>
      <c r="H27" s="43"/>
    </row>
  </sheetData>
  <mergeCells count="12">
    <mergeCell ref="C19:F19"/>
    <mergeCell ref="G19:H19"/>
    <mergeCell ref="C20:D20"/>
    <mergeCell ref="E20:F20"/>
    <mergeCell ref="G20:G21"/>
    <mergeCell ref="H20:H21"/>
    <mergeCell ref="C6:F6"/>
    <mergeCell ref="G6:H6"/>
    <mergeCell ref="C7:D7"/>
    <mergeCell ref="E7:F7"/>
    <mergeCell ref="G7:G8"/>
    <mergeCell ref="H7:H8"/>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D28" sqref="D28:E29"/>
    </sheetView>
  </sheetViews>
  <sheetFormatPr defaultColWidth="9.109375" defaultRowHeight="13.2"/>
  <cols>
    <col min="1" max="1" width="29.33203125" style="10" customWidth="1"/>
    <col min="2" max="2" width="9.109375" style="10"/>
    <col min="3" max="3" width="12" style="10" customWidth="1"/>
    <col min="4" max="4" width="16.33203125" style="10" customWidth="1"/>
    <col min="5" max="5" width="17.109375" style="10" customWidth="1"/>
    <col min="6" max="6" width="12" style="10" customWidth="1"/>
    <col min="7" max="16384" width="9.109375" style="10"/>
  </cols>
  <sheetData>
    <row r="1" spans="1:6">
      <c r="A1" s="11" t="s">
        <v>535</v>
      </c>
    </row>
    <row r="5" spans="1:6">
      <c r="A5" s="13" t="s">
        <v>124</v>
      </c>
      <c r="B5" s="13"/>
      <c r="C5" s="13"/>
      <c r="D5" s="13" t="s">
        <v>192</v>
      </c>
      <c r="E5" s="13" t="s">
        <v>193</v>
      </c>
      <c r="F5" s="13" t="s">
        <v>211</v>
      </c>
    </row>
    <row r="6" spans="1:6" ht="15" customHeight="1">
      <c r="A6" s="30"/>
      <c r="B6" s="30"/>
      <c r="C6" s="302" t="s">
        <v>524</v>
      </c>
      <c r="D6" s="302"/>
      <c r="E6" s="302"/>
      <c r="F6" s="307" t="s">
        <v>525</v>
      </c>
    </row>
    <row r="7" spans="1:6">
      <c r="A7" s="12" t="s">
        <v>123</v>
      </c>
      <c r="B7" s="12"/>
      <c r="C7" s="12"/>
      <c r="D7" s="12" t="s">
        <v>526</v>
      </c>
      <c r="E7" s="12" t="s">
        <v>527</v>
      </c>
      <c r="F7" s="312"/>
    </row>
    <row r="8" spans="1:6">
      <c r="A8" s="10" t="s">
        <v>528</v>
      </c>
    </row>
    <row r="9" spans="1:6">
      <c r="A9" s="10" t="s">
        <v>529</v>
      </c>
      <c r="D9" s="43"/>
      <c r="E9" s="43"/>
    </row>
    <row r="10" spans="1:6">
      <c r="A10" s="10" t="s">
        <v>530</v>
      </c>
      <c r="D10" s="43"/>
      <c r="E10" s="43"/>
    </row>
    <row r="11" spans="1:6">
      <c r="A11" s="10" t="s">
        <v>531</v>
      </c>
      <c r="D11" s="43"/>
      <c r="E11" s="43"/>
    </row>
    <row r="12" spans="1:6">
      <c r="D12" s="43"/>
      <c r="E12" s="43"/>
    </row>
    <row r="13" spans="1:6">
      <c r="A13" s="12" t="s">
        <v>532</v>
      </c>
      <c r="B13" s="12"/>
      <c r="C13" s="12"/>
      <c r="D13" s="44"/>
      <c r="E13" s="44"/>
    </row>
    <row r="14" spans="1:6">
      <c r="A14" s="10" t="s">
        <v>533</v>
      </c>
      <c r="D14" s="43"/>
      <c r="E14" s="43"/>
    </row>
    <row r="15" spans="1:6">
      <c r="A15" s="10" t="s">
        <v>534</v>
      </c>
      <c r="D15" s="43"/>
      <c r="E15" s="43"/>
    </row>
    <row r="19" spans="1:6">
      <c r="A19" s="13" t="s">
        <v>125</v>
      </c>
      <c r="B19" s="13"/>
      <c r="C19" s="13"/>
      <c r="D19" s="13"/>
      <c r="E19" s="13"/>
      <c r="F19" s="13"/>
    </row>
    <row r="20" spans="1:6" ht="12.75" customHeight="1">
      <c r="A20" s="30"/>
      <c r="B20" s="30"/>
      <c r="C20" s="30"/>
      <c r="D20" s="302" t="s">
        <v>524</v>
      </c>
      <c r="E20" s="302"/>
      <c r="F20" s="307" t="s">
        <v>525</v>
      </c>
    </row>
    <row r="21" spans="1:6">
      <c r="A21" s="12" t="s">
        <v>123</v>
      </c>
      <c r="B21" s="12"/>
      <c r="C21" s="12"/>
      <c r="D21" s="12" t="s">
        <v>526</v>
      </c>
      <c r="E21" s="12" t="s">
        <v>527</v>
      </c>
      <c r="F21" s="312"/>
    </row>
    <row r="22" spans="1:6">
      <c r="A22" s="10" t="s">
        <v>528</v>
      </c>
    </row>
    <row r="23" spans="1:6">
      <c r="A23" s="10" t="s">
        <v>529</v>
      </c>
    </row>
    <row r="24" spans="1:6">
      <c r="A24" s="10" t="s">
        <v>530</v>
      </c>
    </row>
    <row r="25" spans="1:6">
      <c r="A25" s="10" t="s">
        <v>531</v>
      </c>
    </row>
    <row r="27" spans="1:6">
      <c r="A27" s="12" t="s">
        <v>532</v>
      </c>
      <c r="B27" s="12"/>
      <c r="C27" s="12"/>
      <c r="D27" s="12"/>
      <c r="E27" s="12"/>
    </row>
    <row r="28" spans="1:6">
      <c r="A28" s="10" t="s">
        <v>533</v>
      </c>
    </row>
    <row r="29" spans="1:6">
      <c r="A29" s="10" t="s">
        <v>534</v>
      </c>
    </row>
  </sheetData>
  <mergeCells count="4">
    <mergeCell ref="F20:F21"/>
    <mergeCell ref="D20:E20"/>
    <mergeCell ref="C6:E6"/>
    <mergeCell ref="F6:F7"/>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C19" sqref="C19:D28"/>
    </sheetView>
  </sheetViews>
  <sheetFormatPr defaultColWidth="9.109375" defaultRowHeight="13.2"/>
  <cols>
    <col min="1" max="1" width="3.6640625" style="10" customWidth="1"/>
    <col min="2" max="2" width="34.6640625" style="10" customWidth="1"/>
    <col min="3" max="3" width="18.109375" style="10" customWidth="1"/>
    <col min="4" max="4" width="20.33203125" style="10" customWidth="1"/>
    <col min="5" max="16384" width="9.109375" style="10"/>
  </cols>
  <sheetData>
    <row r="1" spans="1:4">
      <c r="B1" s="11" t="s">
        <v>542</v>
      </c>
    </row>
    <row r="5" spans="1:4">
      <c r="C5" s="12" t="s">
        <v>192</v>
      </c>
      <c r="D5" s="12" t="s">
        <v>193</v>
      </c>
    </row>
    <row r="6" spans="1:4">
      <c r="B6" s="12" t="s">
        <v>123</v>
      </c>
      <c r="C6" s="12" t="s">
        <v>536</v>
      </c>
      <c r="D6" s="12" t="s">
        <v>537</v>
      </c>
    </row>
    <row r="7" spans="1:4">
      <c r="A7" s="10">
        <v>1</v>
      </c>
      <c r="B7" s="10" t="s">
        <v>345</v>
      </c>
      <c r="C7" s="43"/>
      <c r="D7" s="43"/>
    </row>
    <row r="8" spans="1:4">
      <c r="A8" s="10">
        <v>2</v>
      </c>
      <c r="B8" s="10" t="s">
        <v>346</v>
      </c>
      <c r="C8" s="43"/>
      <c r="D8" s="43"/>
    </row>
    <row r="9" spans="1:4">
      <c r="A9" s="10">
        <v>3</v>
      </c>
      <c r="B9" s="10" t="s">
        <v>538</v>
      </c>
      <c r="C9" s="43"/>
      <c r="D9" s="43"/>
    </row>
    <row r="10" spans="1:4">
      <c r="A10" s="10">
        <v>4</v>
      </c>
      <c r="B10" s="10" t="s">
        <v>539</v>
      </c>
      <c r="C10" s="43"/>
      <c r="D10" s="43"/>
    </row>
    <row r="11" spans="1:4">
      <c r="A11" s="10">
        <v>5</v>
      </c>
      <c r="B11" s="10" t="s">
        <v>540</v>
      </c>
      <c r="C11" s="43"/>
      <c r="D11" s="43"/>
    </row>
    <row r="12" spans="1:4">
      <c r="A12" s="10">
        <v>6</v>
      </c>
      <c r="B12" s="10" t="s">
        <v>350</v>
      </c>
      <c r="C12" s="43"/>
      <c r="D12" s="43"/>
    </row>
    <row r="13" spans="1:4">
      <c r="A13" s="10">
        <v>7</v>
      </c>
      <c r="B13" s="10" t="s">
        <v>351</v>
      </c>
      <c r="C13" s="43"/>
      <c r="D13" s="43"/>
    </row>
    <row r="14" spans="1:4">
      <c r="B14" s="10" t="s">
        <v>541</v>
      </c>
      <c r="C14" s="43"/>
      <c r="D14" s="43"/>
    </row>
    <row r="15" spans="1:4">
      <c r="A15" s="10">
        <v>8</v>
      </c>
      <c r="B15" s="10" t="s">
        <v>107</v>
      </c>
      <c r="C15" s="43"/>
      <c r="D15" s="43"/>
    </row>
    <row r="16" spans="1:4">
      <c r="A16" s="10">
        <v>9</v>
      </c>
      <c r="B16" s="10" t="s">
        <v>352</v>
      </c>
      <c r="C16" s="43"/>
      <c r="D16" s="43"/>
    </row>
    <row r="17" spans="1:4">
      <c r="C17" s="43"/>
      <c r="D17" s="43"/>
    </row>
    <row r="18" spans="1:4">
      <c r="B18" s="12" t="s">
        <v>123</v>
      </c>
      <c r="C18" s="12" t="s">
        <v>536</v>
      </c>
      <c r="D18" s="12" t="s">
        <v>537</v>
      </c>
    </row>
    <row r="19" spans="1:4">
      <c r="A19" s="10">
        <v>1</v>
      </c>
      <c r="B19" s="10" t="s">
        <v>353</v>
      </c>
      <c r="C19" s="43"/>
      <c r="D19" s="43"/>
    </row>
    <row r="20" spans="1:4">
      <c r="A20" s="10">
        <v>2</v>
      </c>
      <c r="B20" s="10" t="s">
        <v>346</v>
      </c>
      <c r="C20" s="43"/>
      <c r="D20" s="43"/>
    </row>
    <row r="21" spans="1:4">
      <c r="A21" s="10">
        <v>3</v>
      </c>
      <c r="B21" s="10" t="s">
        <v>538</v>
      </c>
      <c r="C21" s="43"/>
      <c r="D21" s="43"/>
    </row>
    <row r="22" spans="1:4">
      <c r="A22" s="10">
        <v>4</v>
      </c>
      <c r="B22" s="10" t="s">
        <v>539</v>
      </c>
      <c r="C22" s="43"/>
      <c r="D22" s="43"/>
    </row>
    <row r="23" spans="1:4">
      <c r="A23" s="10">
        <v>5</v>
      </c>
      <c r="B23" s="10" t="s">
        <v>540</v>
      </c>
      <c r="C23" s="43"/>
      <c r="D23" s="43"/>
    </row>
    <row r="24" spans="1:4">
      <c r="A24" s="10">
        <v>6</v>
      </c>
      <c r="B24" s="10" t="s">
        <v>350</v>
      </c>
      <c r="C24" s="43"/>
      <c r="D24" s="43"/>
    </row>
    <row r="25" spans="1:4">
      <c r="A25" s="10">
        <v>7</v>
      </c>
      <c r="B25" s="10" t="s">
        <v>351</v>
      </c>
      <c r="C25" s="43"/>
      <c r="D25" s="43"/>
    </row>
    <row r="26" spans="1:4">
      <c r="B26" s="10" t="s">
        <v>541</v>
      </c>
      <c r="C26" s="43"/>
      <c r="D26" s="43"/>
    </row>
    <row r="27" spans="1:4">
      <c r="A27" s="10">
        <v>8</v>
      </c>
      <c r="B27" s="10" t="s">
        <v>107</v>
      </c>
      <c r="C27" s="43"/>
      <c r="D27" s="43"/>
    </row>
    <row r="28" spans="1:4">
      <c r="A28" s="10">
        <v>9</v>
      </c>
      <c r="B28" s="10" t="s">
        <v>345</v>
      </c>
      <c r="C28" s="43"/>
      <c r="D28" s="43"/>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C21" sqref="C21:D31"/>
    </sheetView>
  </sheetViews>
  <sheetFormatPr defaultColWidth="9.109375" defaultRowHeight="13.2"/>
  <cols>
    <col min="1" max="1" width="4" style="10" customWidth="1"/>
    <col min="2" max="2" width="56.6640625" style="10" customWidth="1"/>
    <col min="3" max="3" width="19.109375" style="10" customWidth="1"/>
    <col min="4" max="4" width="18.109375" style="10" customWidth="1"/>
    <col min="5" max="16384" width="9.109375" style="10"/>
  </cols>
  <sheetData>
    <row r="1" spans="1:4">
      <c r="B1" s="11" t="s">
        <v>555</v>
      </c>
    </row>
    <row r="5" spans="1:4">
      <c r="B5" s="12" t="s">
        <v>124</v>
      </c>
      <c r="C5" s="16" t="s">
        <v>192</v>
      </c>
      <c r="D5" s="16" t="s">
        <v>193</v>
      </c>
    </row>
    <row r="6" spans="1:4">
      <c r="B6" s="13" t="s">
        <v>123</v>
      </c>
      <c r="C6" s="13" t="s">
        <v>543</v>
      </c>
      <c r="D6" s="13" t="s">
        <v>184</v>
      </c>
    </row>
    <row r="7" spans="1:4">
      <c r="A7" s="10">
        <v>1</v>
      </c>
      <c r="B7" s="10" t="s">
        <v>544</v>
      </c>
      <c r="D7" s="43"/>
    </row>
    <row r="8" spans="1:4">
      <c r="A8" s="10">
        <v>2</v>
      </c>
      <c r="B8" s="10" t="s">
        <v>545</v>
      </c>
      <c r="C8" s="43"/>
      <c r="D8" s="43"/>
    </row>
    <row r="9" spans="1:4">
      <c r="A9" s="10">
        <v>52</v>
      </c>
      <c r="B9" s="10" t="s">
        <v>546</v>
      </c>
      <c r="C9" s="43"/>
      <c r="D9" s="43"/>
    </row>
    <row r="10" spans="1:4">
      <c r="A10" s="10">
        <v>4</v>
      </c>
      <c r="B10" s="10" t="s">
        <v>547</v>
      </c>
      <c r="C10" s="43"/>
      <c r="D10" s="43"/>
    </row>
    <row r="11" spans="1:4">
      <c r="A11" s="10">
        <v>5</v>
      </c>
      <c r="B11" s="10" t="s">
        <v>548</v>
      </c>
      <c r="C11" s="43"/>
      <c r="D11" s="43"/>
    </row>
    <row r="12" spans="1:4">
      <c r="A12" s="10">
        <v>6</v>
      </c>
      <c r="B12" s="10" t="s">
        <v>549</v>
      </c>
      <c r="C12" s="43"/>
      <c r="D12" s="43"/>
    </row>
    <row r="13" spans="1:4">
      <c r="A13" s="10">
        <v>7</v>
      </c>
      <c r="B13" s="10" t="s">
        <v>550</v>
      </c>
      <c r="C13" s="43"/>
      <c r="D13" s="43"/>
    </row>
    <row r="14" spans="1:4">
      <c r="A14" s="10">
        <v>8</v>
      </c>
      <c r="B14" s="10" t="s">
        <v>551</v>
      </c>
      <c r="C14" s="43"/>
      <c r="D14" s="43"/>
    </row>
    <row r="15" spans="1:4">
      <c r="A15" s="10">
        <v>9</v>
      </c>
      <c r="B15" s="10" t="s">
        <v>552</v>
      </c>
      <c r="C15" s="43"/>
      <c r="D15" s="43"/>
    </row>
    <row r="16" spans="1:4">
      <c r="A16" s="10">
        <v>10</v>
      </c>
      <c r="B16" s="10" t="s">
        <v>553</v>
      </c>
    </row>
    <row r="17" spans="1:4">
      <c r="A17" s="10">
        <v>11</v>
      </c>
      <c r="B17" s="10" t="s">
        <v>554</v>
      </c>
    </row>
    <row r="19" spans="1:4">
      <c r="B19" s="12" t="s">
        <v>125</v>
      </c>
      <c r="C19" s="16"/>
      <c r="D19" s="16"/>
    </row>
    <row r="20" spans="1:4">
      <c r="B20" s="13" t="s">
        <v>123</v>
      </c>
      <c r="C20" s="13" t="s">
        <v>543</v>
      </c>
      <c r="D20" s="13" t="s">
        <v>184</v>
      </c>
    </row>
    <row r="21" spans="1:4">
      <c r="A21" s="10">
        <v>1</v>
      </c>
      <c r="B21" s="10" t="s">
        <v>544</v>
      </c>
      <c r="D21" s="43"/>
    </row>
    <row r="22" spans="1:4">
      <c r="A22" s="10">
        <v>2</v>
      </c>
      <c r="B22" s="10" t="s">
        <v>545</v>
      </c>
      <c r="C22" s="43"/>
      <c r="D22" s="43"/>
    </row>
    <row r="23" spans="1:4">
      <c r="A23" s="10">
        <v>3</v>
      </c>
      <c r="B23" s="10" t="s">
        <v>546</v>
      </c>
      <c r="C23" s="43"/>
      <c r="D23" s="43"/>
    </row>
    <row r="24" spans="1:4">
      <c r="A24" s="10">
        <v>4</v>
      </c>
      <c r="B24" s="10" t="s">
        <v>547</v>
      </c>
      <c r="C24" s="43"/>
      <c r="D24" s="43"/>
    </row>
    <row r="25" spans="1:4">
      <c r="A25" s="10">
        <v>5</v>
      </c>
      <c r="B25" s="10" t="s">
        <v>548</v>
      </c>
      <c r="C25" s="43"/>
      <c r="D25" s="43"/>
    </row>
    <row r="26" spans="1:4">
      <c r="A26" s="10">
        <v>6</v>
      </c>
      <c r="B26" s="10" t="s">
        <v>549</v>
      </c>
      <c r="C26" s="43"/>
      <c r="D26" s="43"/>
    </row>
    <row r="27" spans="1:4">
      <c r="A27" s="10">
        <v>7</v>
      </c>
      <c r="B27" s="10" t="s">
        <v>550</v>
      </c>
      <c r="C27" s="43"/>
      <c r="D27" s="43"/>
    </row>
    <row r="28" spans="1:4">
      <c r="A28" s="10">
        <v>8</v>
      </c>
      <c r="B28" s="10" t="s">
        <v>551</v>
      </c>
      <c r="C28" s="43"/>
      <c r="D28" s="43"/>
    </row>
    <row r="29" spans="1:4">
      <c r="A29" s="10">
        <v>9</v>
      </c>
      <c r="B29" s="10" t="s">
        <v>552</v>
      </c>
      <c r="C29" s="43"/>
      <c r="D29" s="43"/>
    </row>
    <row r="30" spans="1:4">
      <c r="A30" s="10">
        <v>10</v>
      </c>
      <c r="B30" s="10" t="s">
        <v>553</v>
      </c>
    </row>
    <row r="31" spans="1:4">
      <c r="A31" s="10">
        <v>11</v>
      </c>
      <c r="B31" s="10" t="s">
        <v>554</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G25" sqref="G25"/>
    </sheetView>
  </sheetViews>
  <sheetFormatPr defaultColWidth="9.109375" defaultRowHeight="13.2"/>
  <cols>
    <col min="1" max="1" width="46.109375" style="10" customWidth="1"/>
    <col min="2" max="2" width="16" style="10" customWidth="1"/>
    <col min="3" max="3" width="13.6640625" style="10" customWidth="1"/>
    <col min="4" max="4" width="12.6640625" style="10" customWidth="1"/>
    <col min="5" max="5" width="16.44140625" style="10" customWidth="1"/>
    <col min="6" max="16384" width="9.109375" style="10"/>
  </cols>
  <sheetData>
    <row r="1" spans="1:5">
      <c r="A1" s="11" t="s">
        <v>1477</v>
      </c>
    </row>
    <row r="5" spans="1:5">
      <c r="B5" s="12">
        <v>2019</v>
      </c>
      <c r="C5" s="12"/>
      <c r="D5" s="12">
        <v>2018</v>
      </c>
      <c r="E5" s="12"/>
    </row>
    <row r="6" spans="1:5">
      <c r="A6" s="12" t="s">
        <v>1369</v>
      </c>
      <c r="B6" s="12" t="s">
        <v>372</v>
      </c>
      <c r="C6" s="12" t="s">
        <v>1443</v>
      </c>
      <c r="D6" s="12" t="s">
        <v>372</v>
      </c>
      <c r="E6" s="12" t="s">
        <v>1443</v>
      </c>
    </row>
    <row r="7" spans="1:5">
      <c r="A7" s="10" t="s">
        <v>377</v>
      </c>
      <c r="B7" s="43"/>
      <c r="C7" s="43"/>
      <c r="D7" s="43"/>
      <c r="E7" s="43"/>
    </row>
    <row r="8" spans="1:5">
      <c r="A8" s="10" t="s">
        <v>197</v>
      </c>
      <c r="B8" s="43">
        <v>153</v>
      </c>
      <c r="C8" s="43">
        <f>30674/1000</f>
        <v>30.673999999999999</v>
      </c>
      <c r="D8" s="43">
        <v>218</v>
      </c>
      <c r="E8" s="43">
        <f>43557/1000</f>
        <v>43.557000000000002</v>
      </c>
    </row>
    <row r="9" spans="1:5">
      <c r="A9" s="10" t="s">
        <v>267</v>
      </c>
      <c r="B9" s="43">
        <v>6</v>
      </c>
      <c r="C9" s="43">
        <f>4639/1000</f>
        <v>4.6390000000000002</v>
      </c>
      <c r="D9" s="43">
        <v>57</v>
      </c>
      <c r="E9" s="43">
        <f>43543/1000</f>
        <v>43.542999999999999</v>
      </c>
    </row>
    <row r="10" spans="1:5">
      <c r="A10" s="10" t="s">
        <v>208</v>
      </c>
      <c r="B10" s="43">
        <v>159</v>
      </c>
      <c r="C10" s="43">
        <f>SUM(C8:C9)</f>
        <v>35.313000000000002</v>
      </c>
      <c r="D10" s="43">
        <v>275</v>
      </c>
      <c r="E10" s="43">
        <f>SUM(E8:E9)</f>
        <v>87.1</v>
      </c>
    </row>
    <row r="11" spans="1:5">
      <c r="A11" s="10" t="s">
        <v>209</v>
      </c>
      <c r="B11" s="43">
        <v>159</v>
      </c>
      <c r="C11" s="43">
        <v>35</v>
      </c>
      <c r="D11" s="43">
        <v>275</v>
      </c>
      <c r="E11" s="43">
        <v>87</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heetViews>
  <sheetFormatPr defaultColWidth="9.109375" defaultRowHeight="13.2"/>
  <cols>
    <col min="1" max="16384" width="9.109375" style="10"/>
  </cols>
  <sheetData>
    <row r="1" spans="1:9">
      <c r="A1" s="11" t="s">
        <v>82</v>
      </c>
      <c r="I1" s="15" t="s">
        <v>121</v>
      </c>
    </row>
    <row r="3" spans="1:9">
      <c r="A3" s="10" t="s">
        <v>82</v>
      </c>
      <c r="I3" s="10">
        <v>54</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A4" workbookViewId="0">
      <selection activeCell="A27" sqref="A27"/>
    </sheetView>
  </sheetViews>
  <sheetFormatPr defaultColWidth="9.109375" defaultRowHeight="13.2"/>
  <cols>
    <col min="1" max="1" width="48.88671875" style="10" customWidth="1"/>
    <col min="2" max="2" width="17.33203125" style="10" customWidth="1"/>
    <col min="3" max="3" width="32" style="10" customWidth="1"/>
    <col min="4" max="4" width="12.5546875" style="10" customWidth="1"/>
    <col min="5" max="5" width="15" style="10" customWidth="1"/>
    <col min="6" max="6" width="18.6640625" style="10" customWidth="1"/>
    <col min="7" max="7" width="20.88671875" style="10" customWidth="1"/>
    <col min="8" max="8" width="14.33203125" style="10" customWidth="1"/>
    <col min="9" max="16384" width="9.109375" style="10"/>
  </cols>
  <sheetData>
    <row r="1" spans="1:8">
      <c r="A1" s="11" t="s">
        <v>566</v>
      </c>
    </row>
    <row r="5" spans="1:8">
      <c r="A5" s="10" t="s">
        <v>556</v>
      </c>
    </row>
    <row r="6" spans="1:8">
      <c r="E6" s="306" t="s">
        <v>557</v>
      </c>
      <c r="F6" s="306"/>
      <c r="G6" s="306"/>
      <c r="H6" s="306"/>
    </row>
    <row r="7" spans="1:8">
      <c r="E7" s="302" t="s">
        <v>558</v>
      </c>
      <c r="F7" s="302"/>
      <c r="G7" s="302" t="s">
        <v>184</v>
      </c>
      <c r="H7" s="302"/>
    </row>
    <row r="8" spans="1:8">
      <c r="A8" s="12" t="s">
        <v>220</v>
      </c>
      <c r="B8" s="12"/>
      <c r="C8" s="12"/>
      <c r="D8" s="12"/>
      <c r="E8" s="12" t="s">
        <v>82</v>
      </c>
      <c r="F8" s="12" t="s">
        <v>559</v>
      </c>
      <c r="G8" s="12" t="s">
        <v>82</v>
      </c>
      <c r="H8" s="12" t="s">
        <v>559</v>
      </c>
    </row>
    <row r="10" spans="1:8">
      <c r="E10" s="43"/>
      <c r="F10" s="43"/>
      <c r="G10" s="43"/>
      <c r="H10" s="43"/>
    </row>
    <row r="11" spans="1:8">
      <c r="A11" s="10" t="s">
        <v>209</v>
      </c>
      <c r="E11" s="43">
        <v>0</v>
      </c>
      <c r="F11" s="43">
        <v>0</v>
      </c>
      <c r="G11" s="43">
        <v>0</v>
      </c>
      <c r="H11" s="43">
        <v>0</v>
      </c>
    </row>
    <row r="12" spans="1:8">
      <c r="E12" s="43"/>
      <c r="F12" s="43"/>
      <c r="G12" s="43"/>
      <c r="H12" s="43"/>
    </row>
    <row r="14" spans="1:8">
      <c r="E14" s="306" t="s">
        <v>557</v>
      </c>
      <c r="F14" s="306"/>
      <c r="G14" s="306"/>
      <c r="H14" s="306"/>
    </row>
    <row r="15" spans="1:8">
      <c r="E15" s="302" t="s">
        <v>558</v>
      </c>
      <c r="F15" s="302"/>
      <c r="G15" s="302" t="s">
        <v>184</v>
      </c>
      <c r="H15" s="302"/>
    </row>
    <row r="16" spans="1:8">
      <c r="A16" s="12" t="s">
        <v>224</v>
      </c>
      <c r="B16" s="12"/>
      <c r="C16" s="12"/>
      <c r="D16" s="12"/>
      <c r="E16" s="12" t="s">
        <v>82</v>
      </c>
      <c r="F16" s="12" t="s">
        <v>559</v>
      </c>
      <c r="G16" s="12" t="s">
        <v>82</v>
      </c>
      <c r="H16" s="12" t="s">
        <v>559</v>
      </c>
    </row>
    <row r="17" spans="1:9">
      <c r="A17" s="10" t="s">
        <v>195</v>
      </c>
    </row>
    <row r="18" spans="1:9">
      <c r="E18" s="43"/>
      <c r="F18" s="43"/>
      <c r="G18" s="43"/>
    </row>
    <row r="19" spans="1:9">
      <c r="A19" s="10" t="s">
        <v>209</v>
      </c>
      <c r="E19" s="43"/>
      <c r="F19" s="43"/>
      <c r="G19" s="43"/>
    </row>
    <row r="20" spans="1:9">
      <c r="E20" s="43"/>
      <c r="F20" s="43"/>
      <c r="G20" s="43"/>
    </row>
    <row r="22" spans="1:9">
      <c r="C22" s="306" t="s">
        <v>557</v>
      </c>
      <c r="D22" s="306"/>
      <c r="E22" s="306"/>
      <c r="F22" s="306"/>
      <c r="G22" s="306"/>
      <c r="H22" s="306"/>
    </row>
    <row r="23" spans="1:9" ht="52.8">
      <c r="A23" s="22" t="s">
        <v>220</v>
      </c>
      <c r="B23" s="22"/>
      <c r="C23" s="22" t="s">
        <v>560</v>
      </c>
      <c r="D23" s="22" t="s">
        <v>561</v>
      </c>
      <c r="E23" s="22" t="s">
        <v>385</v>
      </c>
      <c r="F23" s="22" t="s">
        <v>562</v>
      </c>
      <c r="G23" s="22" t="s">
        <v>563</v>
      </c>
      <c r="H23" s="22" t="s">
        <v>564</v>
      </c>
    </row>
    <row r="24" spans="1:9">
      <c r="D24" s="43"/>
      <c r="E24" s="43"/>
      <c r="F24" s="43"/>
      <c r="G24" s="43"/>
      <c r="H24" s="43"/>
      <c r="I24" s="43"/>
    </row>
    <row r="25" spans="1:9">
      <c r="D25" s="43"/>
      <c r="E25" s="43"/>
      <c r="F25" s="43"/>
      <c r="G25" s="43"/>
      <c r="H25" s="43"/>
      <c r="I25" s="43"/>
    </row>
    <row r="26" spans="1:9">
      <c r="D26" s="43"/>
      <c r="E26" s="43"/>
      <c r="F26" s="43"/>
      <c r="G26" s="43"/>
      <c r="H26" s="43"/>
      <c r="I26" s="43"/>
    </row>
    <row r="27" spans="1:9" ht="25.5" customHeight="1">
      <c r="C27" s="312" t="s">
        <v>557</v>
      </c>
      <c r="D27" s="312"/>
      <c r="E27" s="312"/>
      <c r="F27" s="312"/>
      <c r="G27" s="312"/>
      <c r="H27" s="312"/>
    </row>
    <row r="28" spans="1:9" ht="52.8">
      <c r="A28" s="12" t="s">
        <v>224</v>
      </c>
      <c r="B28" s="12"/>
      <c r="C28" s="22" t="s">
        <v>560</v>
      </c>
      <c r="D28" s="22" t="s">
        <v>561</v>
      </c>
      <c r="E28" s="22" t="s">
        <v>385</v>
      </c>
      <c r="F28" s="22" t="s">
        <v>562</v>
      </c>
      <c r="G28" s="22" t="s">
        <v>563</v>
      </c>
      <c r="H28" s="22" t="s">
        <v>564</v>
      </c>
    </row>
    <row r="29" spans="1:9">
      <c r="D29" s="43"/>
      <c r="E29" s="43"/>
      <c r="F29" s="43"/>
      <c r="G29" s="43"/>
      <c r="H29" s="43"/>
    </row>
    <row r="30" spans="1:9">
      <c r="A30" s="10" t="s">
        <v>565</v>
      </c>
      <c r="D30" s="43"/>
      <c r="E30" s="43">
        <v>0</v>
      </c>
      <c r="F30" s="43">
        <v>0</v>
      </c>
      <c r="G30" s="43">
        <v>0</v>
      </c>
      <c r="H30" s="43">
        <v>0</v>
      </c>
    </row>
    <row r="35" spans="7:9">
      <c r="G35" s="43"/>
      <c r="H35" s="43"/>
      <c r="I35" s="43"/>
    </row>
  </sheetData>
  <mergeCells count="8">
    <mergeCell ref="C27:H27"/>
    <mergeCell ref="C22:H22"/>
    <mergeCell ref="E6:H6"/>
    <mergeCell ref="E7:F7"/>
    <mergeCell ref="G7:H7"/>
    <mergeCell ref="E14:H14"/>
    <mergeCell ref="E15:F15"/>
    <mergeCell ref="G15:H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2"/>
  <sheetViews>
    <sheetView workbookViewId="0"/>
  </sheetViews>
  <sheetFormatPr defaultColWidth="9.109375" defaultRowHeight="10.199999999999999"/>
  <cols>
    <col min="1" max="1" width="1.6640625" style="114" customWidth="1"/>
    <col min="2" max="2" width="59.109375" style="112" customWidth="1"/>
    <col min="3" max="7" width="17.44140625" style="113" customWidth="1"/>
    <col min="8" max="8" width="3.88671875" style="114" customWidth="1"/>
    <col min="9" max="16384" width="9.109375" style="114"/>
  </cols>
  <sheetData>
    <row r="1" spans="2:8" s="112" customFormat="1" ht="13.2">
      <c r="B1" s="11" t="s">
        <v>1364</v>
      </c>
      <c r="C1" s="115"/>
      <c r="D1" s="115"/>
      <c r="E1" s="115"/>
      <c r="F1" s="115"/>
      <c r="G1" s="115"/>
    </row>
    <row r="2" spans="2:8" s="118" customFormat="1">
      <c r="B2" s="116"/>
      <c r="C2" s="117"/>
      <c r="D2" s="117"/>
      <c r="E2" s="117"/>
      <c r="F2" s="117"/>
      <c r="G2" s="117"/>
    </row>
    <row r="3" spans="2:8" s="122" customFormat="1" ht="34.5" customHeight="1">
      <c r="B3" s="119"/>
      <c r="C3" s="296" t="s">
        <v>1210</v>
      </c>
      <c r="D3" s="120" t="s">
        <v>140</v>
      </c>
      <c r="E3" s="298" t="s">
        <v>1211</v>
      </c>
      <c r="F3" s="299"/>
      <c r="G3" s="120" t="s">
        <v>1212</v>
      </c>
      <c r="H3" s="121"/>
    </row>
    <row r="4" spans="2:8" s="127" customFormat="1">
      <c r="B4" s="123"/>
      <c r="C4" s="297"/>
      <c r="D4" s="124" t="s">
        <v>1373</v>
      </c>
      <c r="E4" s="124" t="s">
        <v>1213</v>
      </c>
      <c r="F4" s="124" t="s">
        <v>1214</v>
      </c>
      <c r="G4" s="125"/>
      <c r="H4" s="126"/>
    </row>
    <row r="5" spans="2:8" s="127" customFormat="1">
      <c r="B5" s="128" t="s">
        <v>1215</v>
      </c>
      <c r="C5" s="129" t="s">
        <v>1216</v>
      </c>
      <c r="D5" s="130" t="s">
        <v>1216</v>
      </c>
      <c r="E5" s="129" t="s">
        <v>1216</v>
      </c>
      <c r="F5" s="129" t="s">
        <v>1216</v>
      </c>
      <c r="G5" s="130"/>
      <c r="H5" s="126"/>
    </row>
    <row r="6" spans="2:8" s="127" customFormat="1">
      <c r="B6" s="128" t="s">
        <v>1217</v>
      </c>
      <c r="C6" s="129" t="s">
        <v>1218</v>
      </c>
      <c r="D6" s="130" t="s">
        <v>1374</v>
      </c>
      <c r="E6" s="130" t="s">
        <v>1219</v>
      </c>
      <c r="F6" s="130" t="s">
        <v>1220</v>
      </c>
      <c r="G6" s="130"/>
      <c r="H6" s="126"/>
    </row>
    <row r="7" spans="2:8" s="127" customFormat="1">
      <c r="B7" s="128" t="s">
        <v>1221</v>
      </c>
      <c r="C7" s="129" t="s">
        <v>1136</v>
      </c>
      <c r="D7" s="130" t="s">
        <v>1136</v>
      </c>
      <c r="E7" s="130" t="s">
        <v>1136</v>
      </c>
      <c r="F7" s="130" t="s">
        <v>1136</v>
      </c>
      <c r="G7" s="130"/>
      <c r="H7" s="126"/>
    </row>
    <row r="8" spans="2:8" s="127" customFormat="1" ht="20.399999999999999">
      <c r="B8" s="128" t="s">
        <v>1222</v>
      </c>
      <c r="C8" s="129"/>
      <c r="D8" s="130"/>
      <c r="E8" s="130"/>
      <c r="F8" s="130"/>
      <c r="G8" s="130"/>
      <c r="H8" s="126"/>
    </row>
    <row r="9" spans="2:8" s="127" customFormat="1">
      <c r="B9" s="131" t="s">
        <v>1223</v>
      </c>
      <c r="C9" s="129"/>
      <c r="D9" s="130"/>
      <c r="E9" s="130"/>
      <c r="F9" s="130"/>
      <c r="G9" s="130"/>
      <c r="H9" s="126"/>
    </row>
    <row r="10" spans="2:8" s="127" customFormat="1">
      <c r="B10" s="128" t="s">
        <v>1224</v>
      </c>
      <c r="C10" s="129" t="s">
        <v>1225</v>
      </c>
      <c r="D10" s="130" t="s">
        <v>140</v>
      </c>
      <c r="E10" s="130" t="s">
        <v>1226</v>
      </c>
      <c r="F10" s="130" t="s">
        <v>1226</v>
      </c>
      <c r="G10" s="130"/>
      <c r="H10" s="126"/>
    </row>
    <row r="11" spans="2:8" s="127" customFormat="1">
      <c r="B11" s="128" t="s">
        <v>1227</v>
      </c>
      <c r="C11" s="129" t="s">
        <v>1225</v>
      </c>
      <c r="D11" s="130" t="s">
        <v>140</v>
      </c>
      <c r="E11" s="130" t="s">
        <v>1226</v>
      </c>
      <c r="F11" s="130" t="s">
        <v>1226</v>
      </c>
      <c r="G11" s="130"/>
      <c r="H11" s="126"/>
    </row>
    <row r="12" spans="2:8" s="127" customFormat="1">
      <c r="B12" s="128" t="s">
        <v>1228</v>
      </c>
      <c r="C12" s="129" t="s">
        <v>1229</v>
      </c>
      <c r="D12" s="130" t="s">
        <v>1375</v>
      </c>
      <c r="E12" s="130" t="s">
        <v>1229</v>
      </c>
      <c r="F12" s="130" t="s">
        <v>1229</v>
      </c>
      <c r="G12" s="130"/>
      <c r="H12" s="126"/>
    </row>
    <row r="13" spans="2:8" s="127" customFormat="1">
      <c r="B13" s="128" t="s">
        <v>1230</v>
      </c>
      <c r="C13" s="129" t="s">
        <v>1231</v>
      </c>
      <c r="D13" s="130" t="s">
        <v>1376</v>
      </c>
      <c r="E13" s="130" t="s">
        <v>1232</v>
      </c>
      <c r="F13" s="130" t="s">
        <v>1232</v>
      </c>
      <c r="G13" s="130"/>
      <c r="H13" s="126"/>
    </row>
    <row r="14" spans="2:8" s="127" customFormat="1">
      <c r="B14" s="128" t="s">
        <v>1233</v>
      </c>
      <c r="C14" s="132">
        <v>28.454079</v>
      </c>
      <c r="D14" s="132">
        <v>20</v>
      </c>
      <c r="E14" s="133">
        <v>15</v>
      </c>
      <c r="F14" s="133">
        <v>20</v>
      </c>
      <c r="G14" s="132"/>
      <c r="H14" s="126"/>
    </row>
    <row r="15" spans="2:8" s="127" customFormat="1">
      <c r="B15" s="128" t="s">
        <v>1234</v>
      </c>
      <c r="C15" s="129">
        <v>1</v>
      </c>
      <c r="D15" s="130" t="s">
        <v>1236</v>
      </c>
      <c r="E15" s="130" t="s">
        <v>1235</v>
      </c>
      <c r="F15" s="130" t="s">
        <v>1380</v>
      </c>
      <c r="G15" s="130"/>
      <c r="H15" s="126"/>
    </row>
    <row r="16" spans="2:8" s="127" customFormat="1">
      <c r="B16" s="128" t="s">
        <v>1237</v>
      </c>
      <c r="C16" s="129" t="s">
        <v>1238</v>
      </c>
      <c r="D16" s="129">
        <v>100000</v>
      </c>
      <c r="E16" s="129">
        <v>1000</v>
      </c>
      <c r="F16" s="129">
        <v>1000</v>
      </c>
      <c r="G16" s="129"/>
      <c r="H16" s="126"/>
    </row>
    <row r="17" spans="2:8" s="127" customFormat="1">
      <c r="B17" s="128" t="s">
        <v>1239</v>
      </c>
      <c r="C17" s="129" t="s">
        <v>1172</v>
      </c>
      <c r="D17" s="129" t="s">
        <v>1240</v>
      </c>
      <c r="E17" s="130" t="s">
        <v>1240</v>
      </c>
      <c r="F17" s="130" t="s">
        <v>1240</v>
      </c>
      <c r="G17" s="129"/>
      <c r="H17" s="126"/>
    </row>
    <row r="18" spans="2:8" s="127" customFormat="1" ht="20.399999999999999">
      <c r="B18" s="128" t="s">
        <v>1241</v>
      </c>
      <c r="C18" s="129" t="s">
        <v>1242</v>
      </c>
      <c r="D18" s="130" t="s">
        <v>1243</v>
      </c>
      <c r="E18" s="130" t="s">
        <v>1243</v>
      </c>
      <c r="F18" s="130" t="s">
        <v>1243</v>
      </c>
      <c r="G18" s="130"/>
      <c r="H18" s="126"/>
    </row>
    <row r="19" spans="2:8" s="127" customFormat="1">
      <c r="B19" s="128" t="s">
        <v>1244</v>
      </c>
      <c r="C19" s="129" t="s">
        <v>1172</v>
      </c>
      <c r="D19" s="134">
        <v>43642</v>
      </c>
      <c r="E19" s="134" t="s">
        <v>1245</v>
      </c>
      <c r="F19" s="134">
        <v>43432</v>
      </c>
      <c r="G19" s="134"/>
      <c r="H19" s="126"/>
    </row>
    <row r="20" spans="2:8" s="127" customFormat="1">
      <c r="B20" s="128" t="s">
        <v>1246</v>
      </c>
      <c r="C20" s="129" t="s">
        <v>1172</v>
      </c>
      <c r="D20" s="130" t="s">
        <v>1377</v>
      </c>
      <c r="E20" s="130" t="s">
        <v>1247</v>
      </c>
      <c r="F20" s="130" t="s">
        <v>1247</v>
      </c>
      <c r="G20" s="130"/>
      <c r="H20" s="126"/>
    </row>
    <row r="21" spans="2:8" s="127" customFormat="1">
      <c r="B21" s="128" t="s">
        <v>1248</v>
      </c>
      <c r="C21" s="129" t="s">
        <v>1172</v>
      </c>
      <c r="D21" s="135" t="s">
        <v>1172</v>
      </c>
      <c r="E21" s="134" t="s">
        <v>1249</v>
      </c>
      <c r="F21" s="134">
        <v>47085</v>
      </c>
      <c r="G21" s="130"/>
      <c r="H21" s="126"/>
    </row>
    <row r="22" spans="2:8" s="127" customFormat="1">
      <c r="B22" s="128" t="s">
        <v>1250</v>
      </c>
      <c r="C22" s="129" t="s">
        <v>1251</v>
      </c>
      <c r="D22" s="129" t="s">
        <v>1252</v>
      </c>
      <c r="E22" s="129" t="s">
        <v>1252</v>
      </c>
      <c r="F22" s="129" t="s">
        <v>1252</v>
      </c>
      <c r="G22" s="129"/>
      <c r="H22" s="126"/>
    </row>
    <row r="23" spans="2:8" s="127" customFormat="1" ht="20.399999999999999">
      <c r="B23" s="128" t="s">
        <v>1253</v>
      </c>
      <c r="C23" s="129" t="s">
        <v>1172</v>
      </c>
      <c r="D23" s="129" t="s">
        <v>1378</v>
      </c>
      <c r="E23" s="136" t="s">
        <v>1254</v>
      </c>
      <c r="F23" s="136" t="s">
        <v>1255</v>
      </c>
      <c r="G23" s="137"/>
      <c r="H23" s="126"/>
    </row>
    <row r="24" spans="2:8" s="127" customFormat="1">
      <c r="B24" s="128" t="s">
        <v>1256</v>
      </c>
      <c r="C24" s="129" t="s">
        <v>1172</v>
      </c>
      <c r="D24" s="129" t="s">
        <v>1172</v>
      </c>
      <c r="E24" s="129" t="s">
        <v>1172</v>
      </c>
      <c r="F24" s="129" t="s">
        <v>1172</v>
      </c>
      <c r="G24" s="129"/>
      <c r="H24" s="126"/>
    </row>
    <row r="25" spans="2:8" s="127" customFormat="1">
      <c r="B25" s="131" t="s">
        <v>1257</v>
      </c>
      <c r="C25" s="129"/>
      <c r="D25" s="129"/>
      <c r="E25" s="129"/>
      <c r="F25" s="129"/>
      <c r="G25" s="129"/>
      <c r="H25" s="126"/>
    </row>
    <row r="26" spans="2:8" s="127" customFormat="1">
      <c r="B26" s="128" t="s">
        <v>1258</v>
      </c>
      <c r="C26" s="129" t="s">
        <v>1259</v>
      </c>
      <c r="D26" s="129" t="s">
        <v>1260</v>
      </c>
      <c r="E26" s="129" t="s">
        <v>1260</v>
      </c>
      <c r="F26" s="129" t="s">
        <v>1260</v>
      </c>
      <c r="G26" s="129"/>
      <c r="H26" s="126"/>
    </row>
    <row r="27" spans="2:8" s="127" customFormat="1">
      <c r="B27" s="128" t="s">
        <v>1261</v>
      </c>
      <c r="C27" s="129" t="s">
        <v>1172</v>
      </c>
      <c r="D27" s="129" t="s">
        <v>1379</v>
      </c>
      <c r="E27" s="138" t="s">
        <v>1262</v>
      </c>
      <c r="F27" s="138" t="s">
        <v>1263</v>
      </c>
      <c r="G27" s="129"/>
      <c r="H27" s="126"/>
    </row>
    <row r="28" spans="2:8" s="127" customFormat="1">
      <c r="B28" s="128" t="s">
        <v>1264</v>
      </c>
      <c r="C28" s="129" t="s">
        <v>1252</v>
      </c>
      <c r="D28" s="129" t="s">
        <v>1251</v>
      </c>
      <c r="E28" s="129" t="s">
        <v>1251</v>
      </c>
      <c r="F28" s="129" t="s">
        <v>1251</v>
      </c>
      <c r="G28" s="129"/>
      <c r="H28" s="126"/>
    </row>
    <row r="29" spans="2:8" s="127" customFormat="1">
      <c r="B29" s="128" t="s">
        <v>1265</v>
      </c>
      <c r="C29" s="129" t="s">
        <v>1266</v>
      </c>
      <c r="D29" s="129" t="s">
        <v>1267</v>
      </c>
      <c r="E29" s="129" t="s">
        <v>1267</v>
      </c>
      <c r="F29" s="129" t="s">
        <v>1267</v>
      </c>
      <c r="G29" s="129"/>
      <c r="H29" s="126"/>
    </row>
    <row r="30" spans="2:8" s="127" customFormat="1">
      <c r="B30" s="128" t="s">
        <v>1268</v>
      </c>
      <c r="C30" s="129" t="s">
        <v>1266</v>
      </c>
      <c r="D30" s="129" t="s">
        <v>1267</v>
      </c>
      <c r="E30" s="129" t="s">
        <v>1267</v>
      </c>
      <c r="F30" s="129" t="s">
        <v>1267</v>
      </c>
      <c r="G30" s="129"/>
      <c r="H30" s="126"/>
    </row>
    <row r="31" spans="2:8" s="127" customFormat="1">
      <c r="B31" s="128" t="s">
        <v>1269</v>
      </c>
      <c r="C31" s="129" t="s">
        <v>1172</v>
      </c>
      <c r="D31" s="129" t="s">
        <v>1251</v>
      </c>
      <c r="E31" s="129" t="s">
        <v>1251</v>
      </c>
      <c r="F31" s="129" t="s">
        <v>1251</v>
      </c>
      <c r="G31" s="129"/>
      <c r="H31" s="126"/>
    </row>
    <row r="32" spans="2:8" s="127" customFormat="1">
      <c r="B32" s="128" t="s">
        <v>1270</v>
      </c>
      <c r="C32" s="129" t="s">
        <v>1271</v>
      </c>
      <c r="D32" s="129" t="s">
        <v>1271</v>
      </c>
      <c r="E32" s="129" t="s">
        <v>1271</v>
      </c>
      <c r="F32" s="129" t="s">
        <v>1271</v>
      </c>
      <c r="G32" s="129"/>
      <c r="H32" s="126"/>
    </row>
    <row r="33" spans="2:8" s="127" customFormat="1">
      <c r="B33" s="131" t="s">
        <v>1272</v>
      </c>
      <c r="C33" s="129"/>
      <c r="D33" s="129"/>
      <c r="E33" s="129"/>
      <c r="F33" s="129"/>
      <c r="G33" s="129"/>
      <c r="H33" s="126"/>
    </row>
    <row r="34" spans="2:8" s="127" customFormat="1" ht="12">
      <c r="B34" s="128" t="s">
        <v>1273</v>
      </c>
      <c r="C34" s="129" t="s">
        <v>1172</v>
      </c>
      <c r="D34" s="129" t="s">
        <v>1274</v>
      </c>
      <c r="E34" s="129" t="s">
        <v>1274</v>
      </c>
      <c r="F34" s="129" t="s">
        <v>1274</v>
      </c>
      <c r="G34" s="129"/>
      <c r="H34" s="126"/>
    </row>
    <row r="35" spans="2:8" s="127" customFormat="1">
      <c r="B35" s="128" t="s">
        <v>1275</v>
      </c>
      <c r="C35" s="129" t="s">
        <v>1172</v>
      </c>
      <c r="D35" s="129" t="s">
        <v>1172</v>
      </c>
      <c r="E35" s="129" t="s">
        <v>1172</v>
      </c>
      <c r="F35" s="129" t="s">
        <v>1172</v>
      </c>
      <c r="G35" s="129"/>
      <c r="H35" s="126"/>
    </row>
    <row r="36" spans="2:8" s="127" customFormat="1">
      <c r="B36" s="128" t="s">
        <v>1276</v>
      </c>
      <c r="C36" s="129" t="s">
        <v>1172</v>
      </c>
      <c r="D36" s="129" t="s">
        <v>1172</v>
      </c>
      <c r="E36" s="129" t="s">
        <v>1172</v>
      </c>
      <c r="F36" s="129" t="s">
        <v>1172</v>
      </c>
      <c r="G36" s="129"/>
      <c r="H36" s="126"/>
    </row>
    <row r="37" spans="2:8" s="127" customFormat="1">
      <c r="B37" s="128" t="s">
        <v>1277</v>
      </c>
      <c r="C37" s="129" t="s">
        <v>1172</v>
      </c>
      <c r="D37" s="129" t="s">
        <v>1172</v>
      </c>
      <c r="E37" s="129" t="s">
        <v>1172</v>
      </c>
      <c r="F37" s="129" t="s">
        <v>1172</v>
      </c>
      <c r="G37" s="129"/>
      <c r="H37" s="126"/>
    </row>
    <row r="38" spans="2:8" s="127" customFormat="1">
      <c r="B38" s="128" t="s">
        <v>1278</v>
      </c>
      <c r="C38" s="129" t="s">
        <v>1172</v>
      </c>
      <c r="D38" s="129" t="s">
        <v>1172</v>
      </c>
      <c r="E38" s="129" t="s">
        <v>1172</v>
      </c>
      <c r="F38" s="129" t="s">
        <v>1172</v>
      </c>
      <c r="G38" s="129"/>
      <c r="H38" s="126"/>
    </row>
    <row r="39" spans="2:8" s="127" customFormat="1">
      <c r="B39" s="128" t="s">
        <v>1279</v>
      </c>
      <c r="C39" s="129" t="s">
        <v>1172</v>
      </c>
      <c r="D39" s="129" t="s">
        <v>1172</v>
      </c>
      <c r="E39" s="129" t="s">
        <v>1172</v>
      </c>
      <c r="F39" s="129" t="s">
        <v>1172</v>
      </c>
      <c r="G39" s="129"/>
      <c r="H39" s="126"/>
    </row>
    <row r="40" spans="2:8" s="127" customFormat="1">
      <c r="B40" s="128" t="s">
        <v>1280</v>
      </c>
      <c r="C40" s="129" t="s">
        <v>1172</v>
      </c>
      <c r="D40" s="129" t="s">
        <v>1172</v>
      </c>
      <c r="E40" s="129" t="s">
        <v>1172</v>
      </c>
      <c r="F40" s="129" t="s">
        <v>1172</v>
      </c>
      <c r="G40" s="129"/>
      <c r="H40" s="126"/>
    </row>
    <row r="41" spans="2:8" s="127" customFormat="1">
      <c r="B41" s="128" t="s">
        <v>1281</v>
      </c>
      <c r="C41" s="129" t="s">
        <v>1251</v>
      </c>
      <c r="D41" s="129" t="s">
        <v>1251</v>
      </c>
      <c r="E41" s="129" t="s">
        <v>1251</v>
      </c>
      <c r="F41" s="129" t="s">
        <v>1251</v>
      </c>
      <c r="G41" s="129"/>
      <c r="H41" s="126"/>
    </row>
    <row r="42" spans="2:8" s="127" customFormat="1">
      <c r="B42" s="128" t="s">
        <v>1282</v>
      </c>
      <c r="C42" s="129" t="s">
        <v>1172</v>
      </c>
      <c r="D42" s="129" t="s">
        <v>1172</v>
      </c>
      <c r="E42" s="129" t="s">
        <v>1172</v>
      </c>
      <c r="F42" s="129" t="s">
        <v>1172</v>
      </c>
      <c r="G42" s="129"/>
      <c r="H42" s="126"/>
    </row>
    <row r="43" spans="2:8" s="127" customFormat="1">
      <c r="B43" s="128" t="s">
        <v>1283</v>
      </c>
      <c r="C43" s="129" t="s">
        <v>1172</v>
      </c>
      <c r="D43" s="129" t="s">
        <v>1172</v>
      </c>
      <c r="E43" s="129" t="s">
        <v>1172</v>
      </c>
      <c r="F43" s="129" t="s">
        <v>1172</v>
      </c>
      <c r="G43" s="129"/>
      <c r="H43" s="126"/>
    </row>
    <row r="44" spans="2:8" s="127" customFormat="1">
      <c r="B44" s="128" t="s">
        <v>1284</v>
      </c>
      <c r="C44" s="129" t="s">
        <v>890</v>
      </c>
      <c r="D44" s="129" t="s">
        <v>1172</v>
      </c>
      <c r="E44" s="129" t="s">
        <v>1172</v>
      </c>
      <c r="F44" s="129" t="s">
        <v>1172</v>
      </c>
      <c r="G44" s="129"/>
      <c r="H44" s="126"/>
    </row>
    <row r="45" spans="2:8" s="127" customFormat="1">
      <c r="B45" s="128" t="s">
        <v>1285</v>
      </c>
      <c r="C45" s="129" t="s">
        <v>1172</v>
      </c>
      <c r="D45" s="129" t="s">
        <v>1172</v>
      </c>
      <c r="E45" s="129" t="s">
        <v>1172</v>
      </c>
      <c r="F45" s="129" t="s">
        <v>1172</v>
      </c>
      <c r="G45" s="129"/>
      <c r="H45" s="126"/>
    </row>
    <row r="46" spans="2:8" s="127" customFormat="1">
      <c r="B46" s="128" t="s">
        <v>1286</v>
      </c>
      <c r="C46" s="129"/>
      <c r="D46" s="129"/>
      <c r="E46" s="129"/>
      <c r="F46" s="129"/>
      <c r="G46" s="129"/>
      <c r="H46" s="126"/>
    </row>
    <row r="47" spans="2:8" s="127" customFormat="1" ht="20.399999999999999">
      <c r="B47" s="128" t="s">
        <v>1287</v>
      </c>
      <c r="C47" s="129" t="s">
        <v>1211</v>
      </c>
      <c r="D47" s="129" t="s">
        <v>1232</v>
      </c>
      <c r="E47" s="129" t="s">
        <v>1288</v>
      </c>
      <c r="F47" s="129" t="s">
        <v>1288</v>
      </c>
      <c r="G47" s="129"/>
      <c r="H47" s="126"/>
    </row>
    <row r="48" spans="2:8" s="127" customFormat="1">
      <c r="B48" s="128" t="s">
        <v>1289</v>
      </c>
      <c r="C48" s="129" t="s">
        <v>1251</v>
      </c>
      <c r="D48" s="129" t="s">
        <v>1251</v>
      </c>
      <c r="E48" s="129" t="s">
        <v>1251</v>
      </c>
      <c r="F48" s="129" t="s">
        <v>1251</v>
      </c>
      <c r="G48" s="129"/>
      <c r="H48" s="126"/>
    </row>
    <row r="49" spans="2:8" s="127" customFormat="1">
      <c r="B49" s="128" t="s">
        <v>1290</v>
      </c>
      <c r="C49" s="129" t="s">
        <v>1172</v>
      </c>
      <c r="D49" s="129" t="s">
        <v>1172</v>
      </c>
      <c r="E49" s="129" t="s">
        <v>1172</v>
      </c>
      <c r="F49" s="129" t="s">
        <v>1172</v>
      </c>
      <c r="G49" s="129"/>
      <c r="H49" s="126"/>
    </row>
    <row r="50" spans="2:8">
      <c r="B50" s="139"/>
      <c r="C50" s="140"/>
      <c r="D50" s="140"/>
      <c r="E50" s="140"/>
      <c r="F50" s="140"/>
      <c r="G50" s="140"/>
    </row>
    <row r="52" spans="2:8" s="127" customFormat="1">
      <c r="B52" s="118"/>
      <c r="C52" s="141"/>
      <c r="D52" s="141"/>
      <c r="E52" s="141"/>
      <c r="F52" s="141"/>
      <c r="G52" s="141"/>
    </row>
  </sheetData>
  <sheetProtection formatCells="0" formatColumns="0" formatRows="0" insertColumns="0" insertRows="0" insertHyperlinks="0" deleteColumns="0" deleteRows="0" sort="0" autoFilter="0" pivotTables="0"/>
  <mergeCells count="2">
    <mergeCell ref="C3:C4"/>
    <mergeCell ref="E3:F3"/>
  </mergeCells>
  <pageMargins left="0.25" right="0.25" top="0.75" bottom="0.75" header="0.3" footer="0.3"/>
  <pageSetup paperSize="9" scale="51" fitToWidth="0" orientation="landscape" r:id="rId1"/>
  <rowBreaks count="1" manualBreakCount="1">
    <brk id="50" max="15"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heetViews>
  <sheetFormatPr defaultColWidth="9.109375" defaultRowHeight="13.2"/>
  <cols>
    <col min="1" max="16384" width="9.109375" style="10"/>
  </cols>
  <sheetData>
    <row r="1" spans="1:12">
      <c r="A1" s="11" t="s">
        <v>567</v>
      </c>
      <c r="J1" s="15" t="s">
        <v>121</v>
      </c>
    </row>
    <row r="3" spans="1:12">
      <c r="A3" s="10" t="s">
        <v>84</v>
      </c>
      <c r="J3" s="10">
        <v>55</v>
      </c>
      <c r="L3" s="10" t="s">
        <v>1206</v>
      </c>
    </row>
    <row r="4" spans="1:12">
      <c r="A4" s="10" t="s">
        <v>85</v>
      </c>
      <c r="J4" s="10">
        <v>56</v>
      </c>
      <c r="L4" s="10" t="s">
        <v>1206</v>
      </c>
    </row>
    <row r="5" spans="1:12">
      <c r="A5" s="10" t="s">
        <v>86</v>
      </c>
      <c r="J5" s="10">
        <v>57</v>
      </c>
      <c r="L5" s="10" t="s">
        <v>1206</v>
      </c>
    </row>
    <row r="6" spans="1:12">
      <c r="A6" s="10" t="s">
        <v>87</v>
      </c>
      <c r="J6" s="10">
        <v>58</v>
      </c>
      <c r="L6" s="10" t="s">
        <v>1206</v>
      </c>
    </row>
    <row r="7" spans="1:12">
      <c r="A7" s="10" t="s">
        <v>88</v>
      </c>
      <c r="J7" s="10">
        <v>59</v>
      </c>
      <c r="L7" s="10" t="s">
        <v>1206</v>
      </c>
    </row>
    <row r="8" spans="1:12">
      <c r="A8" s="10" t="s">
        <v>568</v>
      </c>
      <c r="J8" s="10">
        <v>60</v>
      </c>
      <c r="L8" s="10" t="s">
        <v>1206</v>
      </c>
    </row>
    <row r="9" spans="1:12">
      <c r="A9" s="10" t="s">
        <v>90</v>
      </c>
      <c r="J9" s="10">
        <v>61</v>
      </c>
      <c r="L9" s="10" t="s">
        <v>1206</v>
      </c>
    </row>
    <row r="10" spans="1:12">
      <c r="A10" s="10" t="s">
        <v>91</v>
      </c>
      <c r="J10" s="10">
        <v>62</v>
      </c>
      <c r="L10" s="10" t="s">
        <v>1206</v>
      </c>
    </row>
    <row r="11" spans="1:12">
      <c r="A11" s="10" t="s">
        <v>92</v>
      </c>
      <c r="J11" s="10">
        <v>63</v>
      </c>
      <c r="L11" s="10" t="s">
        <v>1206</v>
      </c>
    </row>
    <row r="12" spans="1:12">
      <c r="A12" s="10" t="s">
        <v>93</v>
      </c>
      <c r="J12" s="10">
        <v>64</v>
      </c>
      <c r="L12" s="10" t="s">
        <v>1206</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8"/>
  <sheetViews>
    <sheetView workbookViewId="0">
      <selection activeCell="L26" sqref="L26"/>
    </sheetView>
  </sheetViews>
  <sheetFormatPr defaultColWidth="9.109375" defaultRowHeight="13.2"/>
  <cols>
    <col min="1" max="7" width="9.109375" style="10"/>
    <col min="8" max="8" width="19.88671875" style="10" customWidth="1"/>
    <col min="9" max="9" width="17.44140625" style="10" customWidth="1"/>
    <col min="10" max="16384" width="9.109375" style="10"/>
  </cols>
  <sheetData>
    <row r="2" spans="1:9">
      <c r="B2" s="11" t="s">
        <v>569</v>
      </c>
    </row>
    <row r="8" spans="1:9">
      <c r="H8" s="12" t="s">
        <v>192</v>
      </c>
      <c r="I8" s="12" t="s">
        <v>193</v>
      </c>
    </row>
    <row r="9" spans="1:9">
      <c r="B9" s="12" t="s">
        <v>231</v>
      </c>
      <c r="C9" s="12"/>
      <c r="D9" s="12"/>
      <c r="E9" s="12"/>
      <c r="F9" s="12"/>
      <c r="G9" s="12"/>
      <c r="H9" s="12" t="s">
        <v>184</v>
      </c>
      <c r="I9" s="12" t="s">
        <v>537</v>
      </c>
    </row>
    <row r="10" spans="1:9">
      <c r="B10" s="10" t="s">
        <v>578</v>
      </c>
    </row>
    <row r="11" spans="1:9">
      <c r="A11" s="10">
        <v>1</v>
      </c>
      <c r="B11" s="10" t="s">
        <v>570</v>
      </c>
      <c r="H11" s="43"/>
      <c r="I11" s="43"/>
    </row>
    <row r="12" spans="1:9">
      <c r="A12" s="10">
        <v>2</v>
      </c>
      <c r="B12" s="10" t="s">
        <v>571</v>
      </c>
      <c r="H12" s="43">
        <v>1.00936308</v>
      </c>
      <c r="I12" s="43">
        <v>8.0749046399999996E-2</v>
      </c>
    </row>
    <row r="13" spans="1:9">
      <c r="A13" s="10">
        <v>3</v>
      </c>
      <c r="B13" s="10" t="s">
        <v>572</v>
      </c>
      <c r="H13" s="43">
        <v>8.4129840199999997</v>
      </c>
      <c r="I13" s="43">
        <v>0.6730387216</v>
      </c>
    </row>
    <row r="14" spans="1:9">
      <c r="A14" s="10">
        <v>4</v>
      </c>
      <c r="B14" s="10" t="s">
        <v>573</v>
      </c>
      <c r="H14" s="43"/>
      <c r="I14" s="43"/>
    </row>
    <row r="15" spans="1:9">
      <c r="H15" s="43"/>
      <c r="I15" s="43"/>
    </row>
    <row r="16" spans="1:9">
      <c r="B16" s="10" t="s">
        <v>574</v>
      </c>
      <c r="H16" s="43"/>
      <c r="I16" s="43"/>
    </row>
    <row r="17" spans="1:9">
      <c r="A17" s="10">
        <v>5</v>
      </c>
      <c r="B17" s="10" t="s">
        <v>575</v>
      </c>
      <c r="H17" s="43"/>
      <c r="I17" s="43"/>
    </row>
    <row r="18" spans="1:9">
      <c r="A18" s="10">
        <v>6</v>
      </c>
      <c r="B18" s="10" t="s">
        <v>576</v>
      </c>
      <c r="H18" s="43"/>
      <c r="I18" s="43"/>
    </row>
    <row r="19" spans="1:9">
      <c r="A19" s="10">
        <v>7</v>
      </c>
      <c r="B19" s="10" t="s">
        <v>577</v>
      </c>
      <c r="H19" s="43"/>
      <c r="I19" s="43"/>
    </row>
    <row r="20" spans="1:9">
      <c r="A20" s="10">
        <v>8</v>
      </c>
      <c r="B20" s="10" t="s">
        <v>82</v>
      </c>
      <c r="H20" s="43"/>
      <c r="I20" s="43"/>
    </row>
    <row r="21" spans="1:9">
      <c r="A21" s="10">
        <v>9</v>
      </c>
      <c r="B21" s="10" t="s">
        <v>209</v>
      </c>
      <c r="H21" s="43"/>
      <c r="I21" s="43"/>
    </row>
    <row r="22" spans="1:9">
      <c r="B22" s="10" t="s">
        <v>579</v>
      </c>
      <c r="H22" s="43"/>
      <c r="I22" s="43"/>
    </row>
    <row r="23" spans="1:9">
      <c r="H23" s="43"/>
      <c r="I23" s="43"/>
    </row>
    <row r="24" spans="1:9">
      <c r="B24" s="12" t="s">
        <v>238</v>
      </c>
      <c r="C24" s="12"/>
      <c r="D24" s="12"/>
      <c r="E24" s="12"/>
      <c r="F24" s="12"/>
      <c r="G24" s="12"/>
      <c r="H24" s="44" t="s">
        <v>184</v>
      </c>
      <c r="I24" s="44" t="s">
        <v>537</v>
      </c>
    </row>
    <row r="25" spans="1:9">
      <c r="B25" s="10" t="s">
        <v>578</v>
      </c>
      <c r="H25" s="43"/>
      <c r="I25" s="43"/>
    </row>
    <row r="26" spans="1:9">
      <c r="A26" s="10">
        <v>1</v>
      </c>
      <c r="B26" s="10" t="s">
        <v>570</v>
      </c>
      <c r="H26" s="43">
        <v>3.1953298750000005E-2</v>
      </c>
      <c r="I26" s="43">
        <v>2.5562639000000003E-3</v>
      </c>
    </row>
    <row r="27" spans="1:9">
      <c r="A27" s="10">
        <v>2</v>
      </c>
      <c r="B27" s="10" t="s">
        <v>571</v>
      </c>
      <c r="H27" s="43">
        <v>0.73602835999999994</v>
      </c>
      <c r="I27" s="43">
        <v>5.8882268799999998E-2</v>
      </c>
    </row>
    <row r="28" spans="1:9">
      <c r="A28" s="10">
        <v>3</v>
      </c>
      <c r="B28" s="10" t="s">
        <v>572</v>
      </c>
      <c r="H28" s="43">
        <v>3.9574107700000001</v>
      </c>
      <c r="I28" s="43">
        <v>0.3165928616</v>
      </c>
    </row>
    <row r="29" spans="1:9">
      <c r="A29" s="10">
        <v>4</v>
      </c>
      <c r="B29" s="10" t="s">
        <v>573</v>
      </c>
      <c r="H29" s="43"/>
      <c r="I29" s="43"/>
    </row>
    <row r="30" spans="1:9">
      <c r="H30" s="43"/>
      <c r="I30" s="43"/>
    </row>
    <row r="31" spans="1:9">
      <c r="B31" s="10" t="s">
        <v>574</v>
      </c>
      <c r="H31" s="43"/>
      <c r="I31" s="43"/>
    </row>
    <row r="32" spans="1:9">
      <c r="A32" s="10">
        <v>5</v>
      </c>
      <c r="B32" s="10" t="s">
        <v>575</v>
      </c>
      <c r="H32" s="43"/>
      <c r="I32" s="43"/>
    </row>
    <row r="33" spans="1:9">
      <c r="A33" s="10">
        <v>6</v>
      </c>
      <c r="B33" s="10" t="s">
        <v>576</v>
      </c>
      <c r="H33" s="43"/>
      <c r="I33" s="43"/>
    </row>
    <row r="34" spans="1:9">
      <c r="A34" s="10">
        <v>7</v>
      </c>
      <c r="B34" s="10" t="s">
        <v>577</v>
      </c>
      <c r="H34" s="43"/>
      <c r="I34" s="43"/>
    </row>
    <row r="35" spans="1:9">
      <c r="A35" s="10">
        <v>8</v>
      </c>
      <c r="B35" s="10" t="s">
        <v>82</v>
      </c>
      <c r="H35" s="43"/>
      <c r="I35" s="43"/>
    </row>
    <row r="36" spans="1:9">
      <c r="A36" s="10">
        <v>9</v>
      </c>
      <c r="B36" s="10" t="s">
        <v>209</v>
      </c>
      <c r="H36" s="43"/>
      <c r="I36" s="43"/>
    </row>
    <row r="37" spans="1:9">
      <c r="B37" s="10" t="s">
        <v>579</v>
      </c>
      <c r="H37" s="43"/>
      <c r="I37" s="43"/>
    </row>
    <row r="38" spans="1:9">
      <c r="H38" s="43"/>
      <c r="I38" s="43"/>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1"/>
  <sheetViews>
    <sheetView workbookViewId="0">
      <selection activeCell="C16" sqref="C16"/>
    </sheetView>
  </sheetViews>
  <sheetFormatPr defaultColWidth="9.109375" defaultRowHeight="13.2"/>
  <cols>
    <col min="1" max="1" width="3.6640625" style="15" customWidth="1"/>
    <col min="2" max="2" width="127.6640625" style="10" customWidth="1"/>
    <col min="3" max="3" width="18" style="10" customWidth="1"/>
    <col min="4" max="4" width="25.88671875" style="10" customWidth="1"/>
    <col min="5" max="16384" width="9.109375" style="10"/>
  </cols>
  <sheetData>
    <row r="2" spans="1:4">
      <c r="B2" s="11" t="s">
        <v>580</v>
      </c>
    </row>
    <row r="8" spans="1:4">
      <c r="C8" s="16" t="s">
        <v>192</v>
      </c>
      <c r="D8" s="16" t="s">
        <v>193</v>
      </c>
    </row>
    <row r="9" spans="1:4">
      <c r="B9" s="12" t="s">
        <v>231</v>
      </c>
      <c r="C9" s="12" t="s">
        <v>184</v>
      </c>
      <c r="D9" s="12" t="s">
        <v>537</v>
      </c>
    </row>
    <row r="10" spans="1:4">
      <c r="A10" s="15">
        <v>1</v>
      </c>
      <c r="B10" s="10" t="s">
        <v>581</v>
      </c>
      <c r="C10" s="43"/>
      <c r="D10" s="43"/>
    </row>
    <row r="11" spans="1:4">
      <c r="A11" s="15" t="s">
        <v>192</v>
      </c>
      <c r="B11" s="10" t="s">
        <v>582</v>
      </c>
      <c r="C11" s="43"/>
      <c r="D11" s="43"/>
    </row>
    <row r="12" spans="1:4">
      <c r="A12" s="15" t="s">
        <v>193</v>
      </c>
      <c r="B12" s="10" t="s">
        <v>583</v>
      </c>
      <c r="C12" s="43"/>
      <c r="D12" s="43"/>
    </row>
    <row r="13" spans="1:4">
      <c r="A13" s="15">
        <v>2</v>
      </c>
      <c r="B13" s="10" t="s">
        <v>584</v>
      </c>
      <c r="C13" s="43"/>
      <c r="D13" s="43"/>
    </row>
    <row r="14" spans="1:4">
      <c r="A14" s="15" t="s">
        <v>192</v>
      </c>
      <c r="B14" s="10" t="s">
        <v>585</v>
      </c>
      <c r="C14" s="43"/>
      <c r="D14" s="43"/>
    </row>
    <row r="15" spans="1:4">
      <c r="A15" s="15" t="s">
        <v>193</v>
      </c>
      <c r="B15" s="10" t="s">
        <v>586</v>
      </c>
      <c r="C15" s="43"/>
      <c r="D15" s="43"/>
    </row>
    <row r="16" spans="1:4">
      <c r="A16" s="15">
        <v>3</v>
      </c>
      <c r="B16" s="10" t="s">
        <v>587</v>
      </c>
      <c r="C16" s="43"/>
      <c r="D16" s="43"/>
    </row>
    <row r="17" spans="1:4">
      <c r="A17" s="15" t="s">
        <v>192</v>
      </c>
      <c r="B17" s="10" t="s">
        <v>588</v>
      </c>
      <c r="C17" s="43"/>
      <c r="D17" s="43"/>
    </row>
    <row r="18" spans="1:4">
      <c r="A18" s="15" t="s">
        <v>193</v>
      </c>
      <c r="B18" s="10" t="s">
        <v>589</v>
      </c>
      <c r="C18" s="43"/>
      <c r="D18" s="43"/>
    </row>
    <row r="19" spans="1:4">
      <c r="A19" s="15">
        <v>4</v>
      </c>
      <c r="B19" s="10" t="s">
        <v>590</v>
      </c>
      <c r="C19" s="43"/>
      <c r="D19" s="43"/>
    </row>
    <row r="20" spans="1:4">
      <c r="A20" s="15" t="s">
        <v>192</v>
      </c>
      <c r="B20" s="10" t="s">
        <v>591</v>
      </c>
      <c r="C20" s="43"/>
      <c r="D20" s="43"/>
    </row>
    <row r="21" spans="1:4">
      <c r="A21" s="15" t="s">
        <v>193</v>
      </c>
      <c r="B21" s="10" t="s">
        <v>592</v>
      </c>
      <c r="C21" s="43"/>
      <c r="D21" s="43"/>
    </row>
    <row r="22" spans="1:4">
      <c r="A22" s="15" t="s">
        <v>211</v>
      </c>
      <c r="B22" s="10" t="s">
        <v>593</v>
      </c>
      <c r="C22" s="43"/>
      <c r="D22" s="43"/>
    </row>
    <row r="23" spans="1:4">
      <c r="A23" s="15">
        <v>5</v>
      </c>
      <c r="B23" s="10" t="s">
        <v>107</v>
      </c>
      <c r="C23" s="43"/>
      <c r="D23" s="43"/>
    </row>
    <row r="24" spans="1:4">
      <c r="A24" s="15">
        <v>6</v>
      </c>
      <c r="B24" s="10" t="s">
        <v>209</v>
      </c>
      <c r="C24" s="43"/>
      <c r="D24" s="43"/>
    </row>
    <row r="25" spans="1:4">
      <c r="C25" s="43"/>
      <c r="D25" s="43"/>
    </row>
    <row r="26" spans="1:4">
      <c r="B26" s="12" t="s">
        <v>238</v>
      </c>
      <c r="C26" s="12" t="s">
        <v>184</v>
      </c>
      <c r="D26" s="12" t="s">
        <v>537</v>
      </c>
    </row>
    <row r="27" spans="1:4">
      <c r="A27" s="15">
        <v>1</v>
      </c>
      <c r="B27" s="10" t="s">
        <v>581</v>
      </c>
      <c r="C27" s="43"/>
      <c r="D27" s="43"/>
    </row>
    <row r="28" spans="1:4">
      <c r="A28" s="15" t="s">
        <v>192</v>
      </c>
      <c r="B28" s="10" t="s">
        <v>582</v>
      </c>
      <c r="C28" s="43"/>
      <c r="D28" s="43"/>
    </row>
    <row r="29" spans="1:4">
      <c r="A29" s="15" t="s">
        <v>193</v>
      </c>
      <c r="B29" s="10" t="s">
        <v>583</v>
      </c>
      <c r="C29" s="43"/>
      <c r="D29" s="43"/>
    </row>
    <row r="30" spans="1:4">
      <c r="A30" s="15">
        <v>2</v>
      </c>
      <c r="B30" s="10" t="s">
        <v>584</v>
      </c>
      <c r="C30" s="43"/>
      <c r="D30" s="43"/>
    </row>
    <row r="31" spans="1:4">
      <c r="A31" s="15" t="s">
        <v>192</v>
      </c>
      <c r="B31" s="10" t="s">
        <v>585</v>
      </c>
      <c r="C31" s="43"/>
      <c r="D31" s="43"/>
    </row>
    <row r="32" spans="1:4">
      <c r="A32" s="15" t="s">
        <v>193</v>
      </c>
      <c r="B32" s="10" t="s">
        <v>586</v>
      </c>
      <c r="C32" s="43"/>
      <c r="D32" s="43"/>
    </row>
    <row r="33" spans="1:4">
      <c r="A33" s="15">
        <v>3</v>
      </c>
      <c r="B33" s="10" t="s">
        <v>587</v>
      </c>
      <c r="C33" s="43"/>
      <c r="D33" s="43"/>
    </row>
    <row r="34" spans="1:4">
      <c r="A34" s="15" t="s">
        <v>192</v>
      </c>
      <c r="B34" s="10" t="s">
        <v>588</v>
      </c>
      <c r="C34" s="43"/>
      <c r="D34" s="43"/>
    </row>
    <row r="35" spans="1:4">
      <c r="A35" s="15" t="s">
        <v>193</v>
      </c>
      <c r="B35" s="10" t="s">
        <v>589</v>
      </c>
      <c r="C35" s="43"/>
      <c r="D35" s="43"/>
    </row>
    <row r="36" spans="1:4">
      <c r="A36" s="15">
        <v>4</v>
      </c>
      <c r="B36" s="10" t="s">
        <v>590</v>
      </c>
      <c r="C36" s="43"/>
      <c r="D36" s="43"/>
    </row>
    <row r="37" spans="1:4">
      <c r="A37" s="15" t="s">
        <v>192</v>
      </c>
      <c r="B37" s="10" t="s">
        <v>591</v>
      </c>
      <c r="C37" s="43"/>
      <c r="D37" s="43"/>
    </row>
    <row r="38" spans="1:4">
      <c r="A38" s="15" t="s">
        <v>193</v>
      </c>
      <c r="B38" s="10" t="s">
        <v>592</v>
      </c>
      <c r="C38" s="43"/>
      <c r="D38" s="43"/>
    </row>
    <row r="39" spans="1:4">
      <c r="A39" s="15" t="s">
        <v>211</v>
      </c>
      <c r="B39" s="10" t="s">
        <v>593</v>
      </c>
      <c r="C39" s="43"/>
      <c r="D39" s="43"/>
    </row>
    <row r="40" spans="1:4">
      <c r="A40" s="15">
        <v>5</v>
      </c>
      <c r="B40" s="10" t="s">
        <v>107</v>
      </c>
      <c r="C40" s="43"/>
      <c r="D40" s="43"/>
    </row>
    <row r="41" spans="1:4">
      <c r="A41" s="15">
        <v>6</v>
      </c>
      <c r="B41" s="10" t="s">
        <v>209</v>
      </c>
      <c r="C41" s="43"/>
      <c r="D41" s="43"/>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B27" sqref="B27"/>
    </sheetView>
  </sheetViews>
  <sheetFormatPr defaultColWidth="9.109375" defaultRowHeight="13.2"/>
  <cols>
    <col min="1" max="1" width="46.33203125" style="10" customWidth="1"/>
    <col min="2" max="8" width="13" style="10" customWidth="1"/>
    <col min="9" max="16384" width="9.109375" style="10"/>
  </cols>
  <sheetData>
    <row r="1" spans="1:8">
      <c r="A1" s="11" t="s">
        <v>594</v>
      </c>
    </row>
    <row r="7" spans="1:8">
      <c r="A7" s="12" t="s">
        <v>123</v>
      </c>
      <c r="B7" s="12" t="s">
        <v>595</v>
      </c>
      <c r="C7" s="12" t="s">
        <v>596</v>
      </c>
      <c r="D7" s="12" t="s">
        <v>597</v>
      </c>
      <c r="E7" s="12" t="s">
        <v>598</v>
      </c>
      <c r="F7" s="12" t="s">
        <v>107</v>
      </c>
      <c r="G7" s="12" t="s">
        <v>4</v>
      </c>
      <c r="H7" s="12" t="s">
        <v>599</v>
      </c>
    </row>
    <row r="8" spans="1:8">
      <c r="A8" s="10" t="s">
        <v>600</v>
      </c>
      <c r="B8" s="43"/>
      <c r="C8" s="43"/>
      <c r="D8" s="43"/>
      <c r="E8" s="43"/>
      <c r="F8" s="43"/>
      <c r="G8" s="43"/>
      <c r="H8" s="43"/>
    </row>
    <row r="9" spans="1:8">
      <c r="A9" s="10" t="s">
        <v>601</v>
      </c>
      <c r="B9" s="43"/>
      <c r="C9" s="43"/>
      <c r="D9" s="43"/>
      <c r="E9" s="43"/>
      <c r="F9" s="43"/>
      <c r="G9" s="43"/>
      <c r="H9" s="43"/>
    </row>
    <row r="10" spans="1:8">
      <c r="A10" s="10" t="s">
        <v>345</v>
      </c>
      <c r="B10" s="43"/>
      <c r="C10" s="43"/>
      <c r="D10" s="43"/>
      <c r="E10" s="43"/>
      <c r="F10" s="43"/>
      <c r="G10" s="43"/>
      <c r="H10" s="43"/>
    </row>
    <row r="11" spans="1:8">
      <c r="A11" s="10" t="s">
        <v>602</v>
      </c>
      <c r="B11" s="43"/>
      <c r="C11" s="43"/>
      <c r="D11" s="43"/>
      <c r="E11" s="43"/>
      <c r="F11" s="43"/>
      <c r="G11" s="43"/>
      <c r="H11" s="43"/>
    </row>
    <row r="12" spans="1:8">
      <c r="A12" s="10" t="s">
        <v>603</v>
      </c>
      <c r="B12" s="43"/>
      <c r="C12" s="43"/>
      <c r="D12" s="43"/>
      <c r="E12" s="43"/>
      <c r="F12" s="43"/>
      <c r="G12" s="43"/>
      <c r="H12" s="43"/>
    </row>
    <row r="13" spans="1:8">
      <c r="A13" s="10" t="s">
        <v>349</v>
      </c>
      <c r="B13" s="43"/>
      <c r="C13" s="43"/>
      <c r="D13" s="43"/>
      <c r="E13" s="43"/>
      <c r="F13" s="43"/>
      <c r="G13" s="43"/>
      <c r="H13" s="43"/>
    </row>
    <row r="14" spans="1:8">
      <c r="A14" s="10" t="s">
        <v>350</v>
      </c>
      <c r="B14" s="43"/>
      <c r="C14" s="43"/>
      <c r="D14" s="43"/>
      <c r="E14" s="43"/>
      <c r="F14" s="43"/>
      <c r="G14" s="43"/>
      <c r="H14" s="43"/>
    </row>
    <row r="15" spans="1:8">
      <c r="A15" s="10" t="s">
        <v>351</v>
      </c>
      <c r="B15" s="43"/>
      <c r="C15" s="43"/>
      <c r="D15" s="43"/>
      <c r="E15" s="43"/>
      <c r="F15" s="43"/>
      <c r="G15" s="43"/>
      <c r="H15" s="43"/>
    </row>
    <row r="16" spans="1:8">
      <c r="A16" s="10" t="s">
        <v>604</v>
      </c>
      <c r="B16" s="43"/>
      <c r="C16" s="43"/>
      <c r="D16" s="43"/>
      <c r="E16" s="43"/>
      <c r="F16" s="43"/>
      <c r="G16" s="43"/>
      <c r="H16" s="43"/>
    </row>
    <row r="17" spans="1:8">
      <c r="A17" s="10" t="s">
        <v>605</v>
      </c>
      <c r="B17" s="43"/>
      <c r="C17" s="43"/>
      <c r="D17" s="43"/>
      <c r="E17" s="43"/>
      <c r="F17" s="43"/>
      <c r="G17" s="43"/>
      <c r="H17" s="43"/>
    </row>
    <row r="18" spans="1:8">
      <c r="A18" s="10" t="s">
        <v>601</v>
      </c>
      <c r="B18" s="43"/>
      <c r="C18" s="43"/>
      <c r="D18" s="43"/>
      <c r="E18" s="43"/>
      <c r="F18" s="43"/>
      <c r="G18" s="43"/>
      <c r="H18" s="43"/>
    </row>
    <row r="19" spans="1:8">
      <c r="A19" s="10" t="s">
        <v>352</v>
      </c>
      <c r="B19" s="43"/>
      <c r="C19" s="43"/>
      <c r="D19" s="43"/>
      <c r="E19" s="43"/>
      <c r="F19" s="43"/>
      <c r="G19" s="43"/>
      <c r="H19" s="43"/>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workbookViewId="0">
      <selection activeCell="K17" sqref="K17"/>
    </sheetView>
  </sheetViews>
  <sheetFormatPr defaultColWidth="9.109375" defaultRowHeight="13.2"/>
  <cols>
    <col min="1" max="1" width="3.6640625" style="10" customWidth="1"/>
    <col min="2" max="2" width="44.33203125" style="10" customWidth="1"/>
    <col min="3" max="9" width="9.109375" style="10"/>
    <col min="10" max="10" width="13.109375" style="39" customWidth="1"/>
    <col min="11" max="16384" width="9.109375" style="10"/>
  </cols>
  <sheetData>
    <row r="1" spans="1:10">
      <c r="B1" s="11" t="s">
        <v>606</v>
      </c>
      <c r="J1" s="10"/>
    </row>
    <row r="2" spans="1:10">
      <c r="J2" s="10"/>
    </row>
    <row r="3" spans="1:10">
      <c r="J3" s="12" t="s">
        <v>192</v>
      </c>
    </row>
    <row r="4" spans="1:10">
      <c r="B4" s="12" t="s">
        <v>231</v>
      </c>
      <c r="C4" s="12"/>
      <c r="D4" s="12"/>
      <c r="E4" s="12"/>
      <c r="F4" s="12"/>
      <c r="G4" s="12"/>
      <c r="H4" s="12"/>
      <c r="I4" s="12"/>
      <c r="J4" s="12" t="s">
        <v>16</v>
      </c>
    </row>
    <row r="5" spans="1:10">
      <c r="B5" s="10" t="s">
        <v>607</v>
      </c>
      <c r="J5" s="10"/>
    </row>
    <row r="6" spans="1:10">
      <c r="A6" s="10">
        <v>1</v>
      </c>
      <c r="B6" s="10" t="s">
        <v>608</v>
      </c>
    </row>
    <row r="7" spans="1:10">
      <c r="A7" s="10">
        <v>2</v>
      </c>
      <c r="B7" s="10" t="s">
        <v>609</v>
      </c>
    </row>
    <row r="8" spans="1:10">
      <c r="A8" s="10">
        <v>3</v>
      </c>
      <c r="B8" s="10" t="s">
        <v>610</v>
      </c>
    </row>
    <row r="9" spans="1:10">
      <c r="A9" s="10">
        <v>4</v>
      </c>
      <c r="B9" s="10" t="s">
        <v>611</v>
      </c>
    </row>
    <row r="10" spans="1:10">
      <c r="B10" s="10" t="s">
        <v>612</v>
      </c>
    </row>
    <row r="11" spans="1:10">
      <c r="A11" s="10">
        <v>5</v>
      </c>
      <c r="B11" s="10" t="s">
        <v>608</v>
      </c>
    </row>
    <row r="12" spans="1:10">
      <c r="A12" s="10">
        <v>6</v>
      </c>
      <c r="B12" s="10" t="s">
        <v>609</v>
      </c>
    </row>
    <row r="13" spans="1:10">
      <c r="A13" s="10">
        <v>7</v>
      </c>
      <c r="B13" s="10" t="s">
        <v>610</v>
      </c>
    </row>
    <row r="14" spans="1:10">
      <c r="A14" s="10">
        <v>8</v>
      </c>
      <c r="B14" s="10" t="s">
        <v>611</v>
      </c>
    </row>
    <row r="15" spans="1:10">
      <c r="B15" s="10" t="s">
        <v>613</v>
      </c>
    </row>
    <row r="16" spans="1:10">
      <c r="A16" s="10">
        <v>9</v>
      </c>
      <c r="B16" s="10" t="s">
        <v>608</v>
      </c>
    </row>
    <row r="17" spans="1:10">
      <c r="A17" s="10">
        <v>10</v>
      </c>
      <c r="B17" s="10" t="s">
        <v>609</v>
      </c>
    </row>
    <row r="18" spans="1:10">
      <c r="A18" s="10">
        <v>11</v>
      </c>
      <c r="B18" s="10" t="s">
        <v>610</v>
      </c>
    </row>
    <row r="19" spans="1:10">
      <c r="A19" s="10">
        <v>12</v>
      </c>
      <c r="B19" s="10" t="s">
        <v>611</v>
      </c>
    </row>
    <row r="20" spans="1:10">
      <c r="B20" s="10" t="s">
        <v>614</v>
      </c>
    </row>
    <row r="21" spans="1:10">
      <c r="A21" s="10">
        <v>13</v>
      </c>
      <c r="B21" s="10" t="s">
        <v>608</v>
      </c>
    </row>
    <row r="22" spans="1:10">
      <c r="A22" s="10">
        <v>14</v>
      </c>
      <c r="B22" s="10" t="s">
        <v>609</v>
      </c>
    </row>
    <row r="23" spans="1:10">
      <c r="A23" s="10">
        <v>15</v>
      </c>
      <c r="B23" s="10" t="s">
        <v>610</v>
      </c>
    </row>
    <row r="24" spans="1:10">
      <c r="A24" s="10">
        <v>16</v>
      </c>
      <c r="B24" s="10" t="s">
        <v>611</v>
      </c>
    </row>
    <row r="26" spans="1:10">
      <c r="B26" s="12" t="s">
        <v>238</v>
      </c>
      <c r="C26" s="12"/>
      <c r="D26" s="12"/>
      <c r="E26" s="12"/>
      <c r="F26" s="12"/>
      <c r="G26" s="12"/>
      <c r="H26" s="12"/>
      <c r="I26" s="12"/>
      <c r="J26" s="12" t="s">
        <v>123</v>
      </c>
    </row>
    <row r="27" spans="1:10">
      <c r="B27" s="10" t="s">
        <v>607</v>
      </c>
    </row>
    <row r="28" spans="1:10">
      <c r="A28" s="10">
        <v>1</v>
      </c>
      <c r="B28" s="10" t="s">
        <v>608</v>
      </c>
    </row>
    <row r="29" spans="1:10">
      <c r="A29" s="10">
        <v>2</v>
      </c>
      <c r="B29" s="10" t="s">
        <v>609</v>
      </c>
    </row>
    <row r="30" spans="1:10">
      <c r="A30" s="10">
        <v>3</v>
      </c>
      <c r="B30" s="10" t="s">
        <v>610</v>
      </c>
    </row>
    <row r="31" spans="1:10">
      <c r="A31" s="10">
        <v>4</v>
      </c>
      <c r="B31" s="10" t="s">
        <v>611</v>
      </c>
    </row>
    <row r="32" spans="1:10">
      <c r="B32" s="10" t="s">
        <v>612</v>
      </c>
    </row>
    <row r="33" spans="1:2">
      <c r="A33" s="10">
        <v>5</v>
      </c>
      <c r="B33" s="10" t="s">
        <v>608</v>
      </c>
    </row>
    <row r="34" spans="1:2">
      <c r="A34" s="10">
        <v>6</v>
      </c>
      <c r="B34" s="10" t="s">
        <v>609</v>
      </c>
    </row>
    <row r="35" spans="1:2">
      <c r="A35" s="10">
        <v>7</v>
      </c>
      <c r="B35" s="10" t="s">
        <v>610</v>
      </c>
    </row>
    <row r="36" spans="1:2">
      <c r="A36" s="10">
        <v>8</v>
      </c>
      <c r="B36" s="10" t="s">
        <v>611</v>
      </c>
    </row>
    <row r="37" spans="1:2">
      <c r="B37" s="10" t="s">
        <v>613</v>
      </c>
    </row>
    <row r="38" spans="1:2">
      <c r="A38" s="10">
        <v>9</v>
      </c>
      <c r="B38" s="10" t="s">
        <v>608</v>
      </c>
    </row>
    <row r="39" spans="1:2">
      <c r="A39" s="10">
        <v>10</v>
      </c>
      <c r="B39" s="10" t="s">
        <v>609</v>
      </c>
    </row>
    <row r="40" spans="1:2">
      <c r="A40" s="10">
        <v>11</v>
      </c>
      <c r="B40" s="10" t="s">
        <v>610</v>
      </c>
    </row>
    <row r="41" spans="1:2">
      <c r="A41" s="10">
        <v>12</v>
      </c>
      <c r="B41" s="10" t="s">
        <v>611</v>
      </c>
    </row>
    <row r="42" spans="1:2">
      <c r="B42" s="10" t="s">
        <v>614</v>
      </c>
    </row>
    <row r="43" spans="1:2">
      <c r="A43" s="10">
        <v>13</v>
      </c>
      <c r="B43" s="10" t="s">
        <v>608</v>
      </c>
    </row>
    <row r="44" spans="1:2">
      <c r="A44" s="10">
        <v>14</v>
      </c>
      <c r="B44" s="10" t="s">
        <v>609</v>
      </c>
    </row>
    <row r="45" spans="1:2">
      <c r="A45" s="10">
        <v>15</v>
      </c>
      <c r="B45" s="10" t="s">
        <v>610</v>
      </c>
    </row>
    <row r="46" spans="1:2">
      <c r="A46" s="10">
        <v>16</v>
      </c>
      <c r="B46" s="10" t="s">
        <v>611</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7" sqref="G27"/>
    </sheetView>
  </sheetViews>
  <sheetFormatPr defaultColWidth="9.109375" defaultRowHeight="13.2"/>
  <cols>
    <col min="1" max="16384" width="9.109375" style="10"/>
  </cols>
  <sheetData>
    <row r="1" spans="1:1">
      <c r="A1" s="11" t="s">
        <v>615</v>
      </c>
    </row>
    <row r="2" spans="1:1">
      <c r="A2" s="10" t="s">
        <v>156</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selection activeCell="D19" sqref="D19"/>
    </sheetView>
  </sheetViews>
  <sheetFormatPr defaultColWidth="9.109375" defaultRowHeight="14.4"/>
  <cols>
    <col min="1" max="1" width="36.88671875" style="14" customWidth="1"/>
    <col min="2" max="2" width="9.109375" style="14"/>
    <col min="3" max="7" width="13.44140625" style="14" customWidth="1"/>
    <col min="8" max="16384" width="9.109375" style="14"/>
  </cols>
  <sheetData>
    <row r="1" spans="1:7">
      <c r="A1" s="11" t="s">
        <v>616</v>
      </c>
      <c r="B1" s="10"/>
      <c r="C1" s="10"/>
      <c r="D1" s="10"/>
      <c r="E1" s="10"/>
      <c r="F1" s="10"/>
      <c r="G1" s="10"/>
    </row>
    <row r="2" spans="1:7">
      <c r="A2" s="10"/>
      <c r="B2" s="10"/>
      <c r="C2" s="10"/>
      <c r="D2" s="10"/>
      <c r="E2" s="10"/>
      <c r="F2" s="10"/>
      <c r="G2" s="10"/>
    </row>
    <row r="3" spans="1:7">
      <c r="A3" s="10"/>
      <c r="B3" s="10"/>
      <c r="C3" s="10"/>
      <c r="D3" s="10"/>
      <c r="E3" s="10"/>
      <c r="F3" s="10"/>
      <c r="G3" s="10"/>
    </row>
    <row r="4" spans="1:7">
      <c r="A4" s="10"/>
      <c r="B4" s="10"/>
      <c r="C4" s="10"/>
      <c r="D4" s="10"/>
      <c r="E4" s="10"/>
      <c r="F4" s="10"/>
      <c r="G4" s="10"/>
    </row>
    <row r="5" spans="1:7">
      <c r="A5" s="12" t="s">
        <v>231</v>
      </c>
      <c r="B5" s="12"/>
      <c r="C5" s="12" t="s">
        <v>461</v>
      </c>
      <c r="D5" s="12" t="s">
        <v>617</v>
      </c>
      <c r="E5" s="12" t="s">
        <v>618</v>
      </c>
      <c r="F5" s="12" t="s">
        <v>619</v>
      </c>
      <c r="G5" s="12" t="s">
        <v>462</v>
      </c>
    </row>
    <row r="6" spans="1:7">
      <c r="A6" s="10" t="s">
        <v>620</v>
      </c>
      <c r="B6" s="10"/>
      <c r="C6" s="43"/>
      <c r="D6" s="43"/>
      <c r="E6" s="43"/>
      <c r="F6" s="43"/>
      <c r="G6" s="43"/>
    </row>
    <row r="7" spans="1:7">
      <c r="A7" s="10" t="s">
        <v>621</v>
      </c>
      <c r="B7" s="10"/>
      <c r="C7" s="43"/>
      <c r="D7" s="43"/>
      <c r="E7" s="43"/>
      <c r="F7" s="43"/>
      <c r="G7" s="43"/>
    </row>
    <row r="8" spans="1:7">
      <c r="A8" s="10" t="s">
        <v>622</v>
      </c>
      <c r="B8" s="10"/>
      <c r="C8" s="43"/>
      <c r="D8" s="43"/>
      <c r="E8" s="43"/>
      <c r="F8" s="43"/>
      <c r="G8" s="43"/>
    </row>
    <row r="9" spans="1:7">
      <c r="A9" s="10" t="s">
        <v>623</v>
      </c>
      <c r="B9" s="10"/>
      <c r="C9" s="43"/>
      <c r="D9" s="43"/>
      <c r="E9" s="43"/>
      <c r="F9" s="43"/>
      <c r="G9" s="43"/>
    </row>
    <row r="10" spans="1:7">
      <c r="A10" s="10" t="s">
        <v>624</v>
      </c>
      <c r="B10" s="10"/>
      <c r="C10" s="43"/>
      <c r="D10" s="43"/>
      <c r="E10" s="43"/>
      <c r="F10" s="43"/>
      <c r="G10" s="43"/>
    </row>
    <row r="11" spans="1:7">
      <c r="A11" s="10" t="s">
        <v>625</v>
      </c>
      <c r="B11" s="10"/>
      <c r="C11" s="43"/>
      <c r="D11" s="43"/>
      <c r="E11" s="43"/>
      <c r="F11" s="43"/>
      <c r="G11" s="43"/>
    </row>
    <row r="12" spans="1:7">
      <c r="A12" s="10" t="s">
        <v>626</v>
      </c>
      <c r="B12" s="10"/>
      <c r="C12" s="43"/>
      <c r="D12" s="43"/>
      <c r="E12" s="43"/>
      <c r="F12" s="43"/>
      <c r="G12" s="43"/>
    </row>
    <row r="13" spans="1:7">
      <c r="A13" s="10" t="s">
        <v>627</v>
      </c>
      <c r="B13" s="10"/>
      <c r="C13" s="43"/>
      <c r="D13" s="43"/>
      <c r="E13" s="43"/>
      <c r="F13" s="43"/>
      <c r="G13" s="43"/>
    </row>
    <row r="14" spans="1:7">
      <c r="A14" s="10" t="s">
        <v>621</v>
      </c>
      <c r="B14" s="10"/>
      <c r="C14" s="43"/>
      <c r="D14" s="43"/>
      <c r="E14" s="43"/>
      <c r="F14" s="43"/>
      <c r="G14" s="43"/>
    </row>
    <row r="15" spans="1:7">
      <c r="A15" s="10" t="s">
        <v>622</v>
      </c>
      <c r="B15" s="10"/>
      <c r="C15" s="43"/>
      <c r="D15" s="43"/>
      <c r="E15" s="43"/>
      <c r="F15" s="43"/>
      <c r="G15" s="43"/>
    </row>
    <row r="16" spans="1:7">
      <c r="A16" s="10" t="s">
        <v>623</v>
      </c>
      <c r="B16" s="10"/>
      <c r="C16" s="43"/>
      <c r="D16" s="43"/>
      <c r="E16" s="43"/>
      <c r="F16" s="43"/>
      <c r="G16" s="43"/>
    </row>
    <row r="17" spans="1:7">
      <c r="A17" s="10" t="s">
        <v>624</v>
      </c>
      <c r="B17" s="10"/>
      <c r="C17" s="43"/>
      <c r="D17" s="43"/>
      <c r="E17" s="43"/>
      <c r="F17" s="43"/>
      <c r="G17" s="43"/>
    </row>
    <row r="18" spans="1:7">
      <c r="A18" s="10" t="s">
        <v>625</v>
      </c>
      <c r="B18" s="10"/>
      <c r="C18" s="43"/>
      <c r="D18" s="43"/>
      <c r="E18" s="43"/>
      <c r="F18" s="43"/>
      <c r="G18" s="43"/>
    </row>
    <row r="19" spans="1:7">
      <c r="A19" s="10" t="s">
        <v>626</v>
      </c>
      <c r="B19" s="10"/>
      <c r="C19" s="43"/>
      <c r="D19" s="43"/>
      <c r="E19" s="43"/>
      <c r="F19" s="43"/>
      <c r="G19" s="43"/>
    </row>
    <row r="20" spans="1:7">
      <c r="A20" s="10" t="s">
        <v>628</v>
      </c>
      <c r="B20" s="10"/>
      <c r="C20" s="43"/>
      <c r="D20" s="43"/>
      <c r="E20" s="43"/>
      <c r="F20" s="43"/>
      <c r="G20" s="43"/>
    </row>
    <row r="21" spans="1:7">
      <c r="A21" s="10" t="s">
        <v>629</v>
      </c>
      <c r="B21" s="10"/>
      <c r="C21" s="43"/>
      <c r="D21" s="43"/>
      <c r="E21" s="43"/>
      <c r="F21" s="43"/>
      <c r="G21" s="43"/>
    </row>
    <row r="22" spans="1:7">
      <c r="A22" s="10"/>
      <c r="B22" s="10"/>
      <c r="C22" s="43"/>
      <c r="D22" s="43"/>
      <c r="E22" s="43"/>
      <c r="F22" s="43"/>
      <c r="G22" s="43"/>
    </row>
    <row r="23" spans="1:7">
      <c r="A23" s="10"/>
      <c r="B23" s="10"/>
      <c r="C23" s="43"/>
      <c r="D23" s="43"/>
      <c r="E23" s="43"/>
      <c r="F23" s="43"/>
      <c r="G23" s="43"/>
    </row>
    <row r="24" spans="1:7">
      <c r="A24" s="12" t="s">
        <v>238</v>
      </c>
      <c r="B24" s="12"/>
      <c r="C24" s="44" t="s">
        <v>462</v>
      </c>
      <c r="D24" s="44" t="s">
        <v>630</v>
      </c>
      <c r="E24" s="44" t="s">
        <v>631</v>
      </c>
      <c r="F24" s="44" t="s">
        <v>632</v>
      </c>
      <c r="G24" s="44" t="s">
        <v>633</v>
      </c>
    </row>
    <row r="25" spans="1:7">
      <c r="A25" s="10" t="s">
        <v>620</v>
      </c>
      <c r="B25" s="10"/>
      <c r="C25" s="43"/>
      <c r="D25" s="43"/>
      <c r="E25" s="43"/>
      <c r="F25" s="43"/>
      <c r="G25" s="43"/>
    </row>
    <row r="26" spans="1:7">
      <c r="A26" s="10" t="s">
        <v>621</v>
      </c>
      <c r="B26" s="10"/>
      <c r="C26" s="43"/>
      <c r="D26" s="43"/>
      <c r="E26" s="43"/>
      <c r="F26" s="43"/>
      <c r="G26" s="43"/>
    </row>
    <row r="27" spans="1:7">
      <c r="A27" s="10" t="s">
        <v>622</v>
      </c>
      <c r="B27" s="10"/>
      <c r="C27" s="43"/>
      <c r="D27" s="43"/>
      <c r="E27" s="43"/>
      <c r="F27" s="43"/>
      <c r="G27" s="43"/>
    </row>
    <row r="28" spans="1:7">
      <c r="A28" s="10" t="s">
        <v>623</v>
      </c>
      <c r="B28" s="10"/>
      <c r="C28" s="43"/>
      <c r="D28" s="43"/>
      <c r="E28" s="43"/>
      <c r="F28" s="43"/>
      <c r="G28" s="43"/>
    </row>
    <row r="29" spans="1:7">
      <c r="A29" s="10" t="s">
        <v>624</v>
      </c>
      <c r="B29" s="10"/>
      <c r="C29" s="43"/>
      <c r="D29" s="43"/>
      <c r="E29" s="43"/>
      <c r="F29" s="43"/>
      <c r="G29" s="43"/>
    </row>
    <row r="30" spans="1:7">
      <c r="A30" s="10" t="s">
        <v>625</v>
      </c>
      <c r="B30" s="10"/>
      <c r="C30" s="43"/>
      <c r="D30" s="43"/>
      <c r="E30" s="43"/>
      <c r="F30" s="43"/>
      <c r="G30" s="43"/>
    </row>
    <row r="31" spans="1:7">
      <c r="A31" s="10" t="s">
        <v>626</v>
      </c>
      <c r="B31" s="10"/>
      <c r="C31" s="43"/>
      <c r="D31" s="43"/>
      <c r="E31" s="43"/>
      <c r="F31" s="43"/>
      <c r="G31" s="43"/>
    </row>
    <row r="32" spans="1:7">
      <c r="A32" s="10" t="s">
        <v>627</v>
      </c>
      <c r="B32" s="10"/>
      <c r="C32" s="43"/>
      <c r="D32" s="43"/>
      <c r="E32" s="43"/>
      <c r="F32" s="43"/>
      <c r="G32" s="43"/>
    </row>
    <row r="33" spans="1:7">
      <c r="A33" s="10" t="s">
        <v>621</v>
      </c>
      <c r="B33" s="10"/>
      <c r="C33" s="43"/>
      <c r="D33" s="43"/>
      <c r="E33" s="43"/>
      <c r="F33" s="43"/>
      <c r="G33" s="43"/>
    </row>
    <row r="34" spans="1:7">
      <c r="A34" s="10" t="s">
        <v>622</v>
      </c>
      <c r="B34" s="10"/>
      <c r="C34" s="43"/>
      <c r="D34" s="43"/>
      <c r="E34" s="43"/>
      <c r="F34" s="43"/>
      <c r="G34" s="43"/>
    </row>
    <row r="35" spans="1:7">
      <c r="A35" s="10" t="s">
        <v>623</v>
      </c>
      <c r="B35" s="10"/>
      <c r="C35" s="43"/>
      <c r="D35" s="43"/>
      <c r="E35" s="43"/>
      <c r="F35" s="43"/>
      <c r="G35" s="43"/>
    </row>
    <row r="36" spans="1:7">
      <c r="A36" s="10" t="s">
        <v>624</v>
      </c>
      <c r="B36" s="10"/>
      <c r="C36" s="43"/>
      <c r="D36" s="43"/>
      <c r="E36" s="43"/>
      <c r="F36" s="43"/>
      <c r="G36" s="43"/>
    </row>
    <row r="37" spans="1:7">
      <c r="A37" s="10" t="s">
        <v>625</v>
      </c>
      <c r="B37" s="10"/>
      <c r="C37" s="43"/>
      <c r="D37" s="43"/>
      <c r="E37" s="43"/>
      <c r="F37" s="43"/>
      <c r="G37" s="43"/>
    </row>
    <row r="38" spans="1:7">
      <c r="A38" s="10" t="s">
        <v>626</v>
      </c>
      <c r="B38" s="10"/>
      <c r="C38" s="43"/>
      <c r="D38" s="43"/>
      <c r="E38" s="43"/>
      <c r="F38" s="43"/>
      <c r="G38" s="43"/>
    </row>
    <row r="39" spans="1:7">
      <c r="A39" s="10" t="s">
        <v>628</v>
      </c>
      <c r="B39" s="10"/>
      <c r="C39" s="43"/>
      <c r="D39" s="43"/>
      <c r="E39" s="43"/>
      <c r="F39" s="43"/>
      <c r="G39" s="43"/>
    </row>
    <row r="40" spans="1:7">
      <c r="A40" s="10" t="s">
        <v>629</v>
      </c>
      <c r="B40" s="10"/>
      <c r="C40" s="43"/>
      <c r="D40" s="43"/>
      <c r="E40" s="43"/>
      <c r="F40" s="43"/>
      <c r="G40" s="43"/>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D18" sqref="D18"/>
    </sheetView>
  </sheetViews>
  <sheetFormatPr defaultColWidth="9.109375" defaultRowHeight="13.2"/>
  <cols>
    <col min="1" max="1" width="26.6640625" style="10" customWidth="1"/>
    <col min="2" max="7" width="20.88671875" style="10" customWidth="1"/>
    <col min="8" max="16384" width="9.109375" style="10"/>
  </cols>
  <sheetData>
    <row r="1" spans="1:7">
      <c r="A1" s="11" t="s">
        <v>646</v>
      </c>
    </row>
    <row r="5" spans="1:7">
      <c r="A5" s="12" t="s">
        <v>220</v>
      </c>
      <c r="B5" s="12" t="s">
        <v>634</v>
      </c>
      <c r="C5" s="12" t="s">
        <v>635</v>
      </c>
      <c r="D5" s="12" t="s">
        <v>636</v>
      </c>
      <c r="E5" s="12" t="s">
        <v>637</v>
      </c>
      <c r="F5" s="12" t="s">
        <v>638</v>
      </c>
      <c r="G5" s="12" t="s">
        <v>639</v>
      </c>
    </row>
    <row r="6" spans="1:7">
      <c r="B6" s="43">
        <v>32.784999999999997</v>
      </c>
      <c r="C6" s="43">
        <v>95.677999999999997</v>
      </c>
      <c r="D6" s="43">
        <v>3.4780000000000002</v>
      </c>
      <c r="E6" s="43">
        <v>32.523000000000003</v>
      </c>
      <c r="F6" s="43">
        <v>22.192</v>
      </c>
      <c r="G6" s="43">
        <v>7.4969999999999999</v>
      </c>
    </row>
    <row r="7" spans="1:7">
      <c r="B7" s="43"/>
      <c r="C7" s="43"/>
      <c r="D7" s="43"/>
      <c r="E7" s="43"/>
      <c r="F7" s="43"/>
      <c r="G7" s="43"/>
    </row>
    <row r="9" spans="1:7">
      <c r="A9" s="12" t="s">
        <v>224</v>
      </c>
      <c r="B9" s="12" t="s">
        <v>634</v>
      </c>
      <c r="C9" s="12" t="s">
        <v>635</v>
      </c>
      <c r="D9" s="12" t="s">
        <v>636</v>
      </c>
      <c r="E9" s="12" t="s">
        <v>637</v>
      </c>
      <c r="F9" s="12" t="s">
        <v>638</v>
      </c>
      <c r="G9" s="12" t="s">
        <v>639</v>
      </c>
    </row>
    <row r="10" spans="1:7">
      <c r="B10" s="43">
        <v>23.297000000000001</v>
      </c>
      <c r="C10" s="43">
        <v>58.691000000000003</v>
      </c>
      <c r="D10" s="43">
        <v>5.2539999999999996</v>
      </c>
      <c r="E10" s="43">
        <v>7.0350000000000001</v>
      </c>
      <c r="F10" s="43">
        <v>17.561</v>
      </c>
      <c r="G10" s="43">
        <v>22.094999999999999</v>
      </c>
    </row>
    <row r="11" spans="1:7">
      <c r="B11" s="43"/>
      <c r="C11" s="43"/>
      <c r="D11" s="43"/>
      <c r="E11" s="43"/>
      <c r="F11" s="43"/>
      <c r="G11" s="43"/>
    </row>
    <row r="12" spans="1:7">
      <c r="A12" s="10" t="s">
        <v>645</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B26" sqref="B26"/>
    </sheetView>
  </sheetViews>
  <sheetFormatPr defaultColWidth="9.109375" defaultRowHeight="13.2"/>
  <cols>
    <col min="1" max="1" width="31.6640625" style="25" customWidth="1"/>
    <col min="2" max="6" width="18.6640625" style="25" customWidth="1"/>
    <col min="7" max="7" width="20.88671875" style="25" bestFit="1" customWidth="1"/>
    <col min="8" max="16384" width="9.109375" style="25"/>
  </cols>
  <sheetData>
    <row r="1" spans="1:7">
      <c r="A1" s="29" t="s">
        <v>647</v>
      </c>
    </row>
    <row r="5" spans="1:7">
      <c r="A5" s="31" t="s">
        <v>220</v>
      </c>
      <c r="B5" s="31" t="s">
        <v>634</v>
      </c>
      <c r="C5" s="31" t="s">
        <v>635</v>
      </c>
      <c r="D5" s="31" t="s">
        <v>636</v>
      </c>
      <c r="E5" s="31" t="s">
        <v>637</v>
      </c>
      <c r="F5" s="31" t="s">
        <v>638</v>
      </c>
      <c r="G5" s="31" t="s">
        <v>639</v>
      </c>
    </row>
    <row r="6" spans="1:7">
      <c r="B6" s="48">
        <v>24.882000000000001</v>
      </c>
      <c r="C6" s="48">
        <v>-1.718</v>
      </c>
      <c r="D6" s="48">
        <v>-0.59699999999999998</v>
      </c>
      <c r="E6" s="48">
        <v>26.963999999999999</v>
      </c>
      <c r="F6" s="48">
        <v>34.645000000000003</v>
      </c>
      <c r="G6" s="48">
        <v>-2.5609999999999999</v>
      </c>
    </row>
    <row r="7" spans="1:7">
      <c r="B7" s="48"/>
      <c r="C7" s="48"/>
      <c r="D7" s="48"/>
      <c r="E7" s="48"/>
      <c r="F7" s="48"/>
      <c r="G7" s="48"/>
    </row>
    <row r="8" spans="1:7">
      <c r="B8" s="48"/>
      <c r="C8" s="48"/>
      <c r="D8" s="48"/>
      <c r="E8" s="48"/>
      <c r="F8" s="48"/>
      <c r="G8" s="48"/>
    </row>
    <row r="9" spans="1:7">
      <c r="A9" s="31" t="s">
        <v>224</v>
      </c>
      <c r="B9" s="93" t="s">
        <v>634</v>
      </c>
      <c r="C9" s="93" t="s">
        <v>635</v>
      </c>
      <c r="D9" s="93" t="s">
        <v>636</v>
      </c>
      <c r="E9" s="93" t="s">
        <v>637</v>
      </c>
      <c r="F9" s="93" t="s">
        <v>638</v>
      </c>
      <c r="G9" s="93" t="s">
        <v>639</v>
      </c>
    </row>
    <row r="10" spans="1:7">
      <c r="B10" s="48">
        <v>11.064</v>
      </c>
      <c r="C10" s="48">
        <v>-2.2530000000000001</v>
      </c>
      <c r="D10" s="48">
        <v>-0.96799999999999997</v>
      </c>
      <c r="E10" s="48">
        <v>7.7279999999999998</v>
      </c>
      <c r="F10" s="48">
        <v>12.805</v>
      </c>
      <c r="G10" s="48">
        <v>-2.194</v>
      </c>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D28" sqref="D28"/>
    </sheetView>
  </sheetViews>
  <sheetFormatPr defaultColWidth="9.109375" defaultRowHeight="13.2"/>
  <cols>
    <col min="1" max="1" width="47" style="10" customWidth="1"/>
    <col min="2" max="6" width="22.33203125" style="10" customWidth="1"/>
    <col min="7" max="16384" width="9.109375" style="10"/>
  </cols>
  <sheetData>
    <row r="1" spans="1:6">
      <c r="A1" s="11" t="s">
        <v>652</v>
      </c>
    </row>
    <row r="5" spans="1:6">
      <c r="A5" s="12" t="s">
        <v>220</v>
      </c>
      <c r="B5" s="12" t="s">
        <v>648</v>
      </c>
      <c r="C5" s="12" t="s">
        <v>649</v>
      </c>
      <c r="D5" s="12" t="s">
        <v>650</v>
      </c>
      <c r="E5" s="12" t="s">
        <v>651</v>
      </c>
      <c r="F5" s="12" t="s">
        <v>374</v>
      </c>
    </row>
    <row r="6" spans="1:6">
      <c r="A6" s="10" t="s">
        <v>1451</v>
      </c>
    </row>
    <row r="7" spans="1:6">
      <c r="A7" s="10" t="s">
        <v>107</v>
      </c>
    </row>
    <row r="8" spans="1:6">
      <c r="A8" s="10" t="s">
        <v>209</v>
      </c>
    </row>
    <row r="11" spans="1:6">
      <c r="A11" s="12" t="s">
        <v>224</v>
      </c>
      <c r="B11" s="12" t="s">
        <v>648</v>
      </c>
      <c r="C11" s="12" t="s">
        <v>649</v>
      </c>
      <c r="D11" s="12" t="s">
        <v>650</v>
      </c>
      <c r="E11" s="12" t="s">
        <v>651</v>
      </c>
      <c r="F11" s="12" t="s">
        <v>374</v>
      </c>
    </row>
    <row r="12" spans="1:6">
      <c r="A12" s="10" t="s">
        <v>1451</v>
      </c>
    </row>
    <row r="13" spans="1:6">
      <c r="A13" s="10" t="s">
        <v>107</v>
      </c>
    </row>
    <row r="14" spans="1:6">
      <c r="A14" s="10" t="s">
        <v>209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heetViews>
  <sheetFormatPr defaultColWidth="13" defaultRowHeight="10.199999999999999"/>
  <cols>
    <col min="1" max="1" width="1.6640625" style="142" customWidth="1"/>
    <col min="2" max="2" width="42" style="143" customWidth="1"/>
    <col min="3" max="4" width="11.6640625" style="143" customWidth="1"/>
    <col min="5" max="5" width="12.44140625" style="143" customWidth="1"/>
    <col min="6" max="9" width="11.6640625" style="143" customWidth="1"/>
    <col min="10" max="16384" width="13" style="143"/>
  </cols>
  <sheetData>
    <row r="1" spans="1:9" s="145" customFormat="1" ht="18" customHeight="1">
      <c r="A1" s="144"/>
      <c r="B1" s="11" t="s">
        <v>1291</v>
      </c>
      <c r="C1" s="144"/>
    </row>
    <row r="2" spans="1:9" s="146" customFormat="1"/>
    <row r="3" spans="1:9" s="147" customFormat="1" ht="9.75" customHeight="1"/>
    <row r="4" spans="1:9" s="147" customFormat="1" ht="12" customHeight="1">
      <c r="B4" s="148"/>
      <c r="C4" s="149"/>
      <c r="D4" s="149"/>
      <c r="E4" s="149"/>
      <c r="F4" s="149"/>
      <c r="G4" s="149"/>
      <c r="I4" s="150" t="s">
        <v>1292</v>
      </c>
    </row>
    <row r="5" spans="1:9" s="151" customFormat="1">
      <c r="B5" s="152" t="s">
        <v>1293</v>
      </c>
      <c r="C5" s="153"/>
      <c r="D5" s="153"/>
      <c r="E5" s="153"/>
      <c r="F5" s="153"/>
      <c r="G5" s="153"/>
      <c r="H5" s="153" t="s">
        <v>1366</v>
      </c>
      <c r="I5" s="153" t="s">
        <v>1294</v>
      </c>
    </row>
    <row r="6" spans="1:9" s="154" customFormat="1">
      <c r="B6" s="155" t="s">
        <v>1295</v>
      </c>
      <c r="C6" s="155"/>
      <c r="D6" s="155"/>
      <c r="E6" s="155"/>
      <c r="F6" s="155"/>
      <c r="G6" s="155"/>
      <c r="H6" s="156">
        <v>55</v>
      </c>
      <c r="I6" s="156">
        <v>50.9</v>
      </c>
    </row>
    <row r="7" spans="1:9" s="154" customFormat="1">
      <c r="B7" s="152" t="s">
        <v>1296</v>
      </c>
      <c r="C7" s="152"/>
      <c r="D7" s="152"/>
      <c r="E7" s="152"/>
      <c r="F7" s="152"/>
      <c r="G7" s="152"/>
      <c r="H7" s="157">
        <v>20</v>
      </c>
      <c r="I7" s="157">
        <v>0</v>
      </c>
    </row>
    <row r="8" spans="1:9" s="154" customFormat="1">
      <c r="B8" s="152" t="s">
        <v>1297</v>
      </c>
      <c r="C8" s="152"/>
      <c r="D8" s="152"/>
      <c r="E8" s="152"/>
      <c r="F8" s="152"/>
      <c r="G8" s="152"/>
      <c r="H8" s="157"/>
      <c r="I8" s="157"/>
    </row>
    <row r="9" spans="1:9" s="154" customFormat="1">
      <c r="B9" s="152" t="s">
        <v>1298</v>
      </c>
      <c r="C9" s="152"/>
      <c r="D9" s="152"/>
      <c r="E9" s="152"/>
      <c r="F9" s="152"/>
      <c r="G9" s="152"/>
      <c r="H9" s="157"/>
      <c r="I9" s="157"/>
    </row>
    <row r="10" spans="1:9" s="158" customFormat="1">
      <c r="B10" s="159" t="s">
        <v>1299</v>
      </c>
      <c r="C10" s="159"/>
      <c r="D10" s="159"/>
      <c r="E10" s="159"/>
      <c r="F10" s="159"/>
      <c r="G10" s="159"/>
      <c r="H10" s="160">
        <f>SUM(H6:H9)</f>
        <v>75</v>
      </c>
      <c r="I10" s="160">
        <f>SUM(I6:I9)</f>
        <v>50.9</v>
      </c>
    </row>
    <row r="11" spans="1:9" s="147" customFormat="1">
      <c r="B11" s="161"/>
      <c r="C11" s="162"/>
      <c r="D11" s="162"/>
      <c r="E11" s="162"/>
      <c r="F11" s="162"/>
      <c r="G11" s="162"/>
      <c r="H11" s="162"/>
      <c r="I11" s="163"/>
    </row>
    <row r="12" spans="1:9" s="147" customFormat="1">
      <c r="B12" s="300"/>
      <c r="C12" s="300"/>
      <c r="D12" s="300"/>
      <c r="E12" s="300"/>
      <c r="F12" s="300"/>
      <c r="G12" s="301"/>
      <c r="H12" s="301"/>
    </row>
    <row r="13" spans="1:9" s="151" customFormat="1">
      <c r="B13" s="164" t="s">
        <v>1300</v>
      </c>
      <c r="C13" s="165"/>
      <c r="D13" s="166"/>
      <c r="E13" s="166"/>
      <c r="F13" s="166"/>
      <c r="G13" s="167"/>
      <c r="H13" s="153"/>
      <c r="I13" s="150" t="s">
        <v>1292</v>
      </c>
    </row>
    <row r="14" spans="1:9" s="154" customFormat="1">
      <c r="B14" s="168"/>
      <c r="C14" s="165"/>
      <c r="D14" s="169"/>
      <c r="E14" s="169"/>
      <c r="F14" s="153" t="s">
        <v>1301</v>
      </c>
      <c r="G14" s="153" t="s">
        <v>1302</v>
      </c>
      <c r="H14" s="170" t="s">
        <v>604</v>
      </c>
      <c r="I14" s="169"/>
    </row>
    <row r="15" spans="1:9" s="154" customFormat="1">
      <c r="B15" s="168"/>
      <c r="C15" s="153"/>
      <c r="D15" s="153" t="s">
        <v>1303</v>
      </c>
      <c r="E15" s="153" t="s">
        <v>1304</v>
      </c>
      <c r="F15" s="153" t="s">
        <v>1305</v>
      </c>
      <c r="G15" s="153" t="s">
        <v>1306</v>
      </c>
      <c r="H15" s="170" t="s">
        <v>1307</v>
      </c>
      <c r="I15" s="153" t="s">
        <v>1303</v>
      </c>
    </row>
    <row r="16" spans="1:9" s="154" customFormat="1">
      <c r="B16" s="152" t="s">
        <v>1293</v>
      </c>
      <c r="C16" s="153"/>
      <c r="D16" s="153" t="s">
        <v>1366</v>
      </c>
      <c r="E16" s="153" t="s">
        <v>157</v>
      </c>
      <c r="F16" s="153" t="s">
        <v>157</v>
      </c>
      <c r="G16" s="153" t="s">
        <v>157</v>
      </c>
      <c r="H16" s="153" t="s">
        <v>157</v>
      </c>
      <c r="I16" s="153" t="s">
        <v>1294</v>
      </c>
    </row>
    <row r="17" spans="1:9" s="154" customFormat="1">
      <c r="B17" s="155" t="s">
        <v>1295</v>
      </c>
      <c r="C17" s="171"/>
      <c r="D17" s="172">
        <v>55</v>
      </c>
      <c r="E17" s="172">
        <v>20</v>
      </c>
      <c r="F17" s="172">
        <v>-15.9</v>
      </c>
      <c r="G17" s="172"/>
      <c r="H17" s="172"/>
      <c r="I17" s="172">
        <v>50.9</v>
      </c>
    </row>
    <row r="18" spans="1:9" s="158" customFormat="1">
      <c r="A18" s="173"/>
      <c r="B18" s="152" t="s">
        <v>1296</v>
      </c>
      <c r="C18" s="174"/>
      <c r="D18" s="175">
        <v>20</v>
      </c>
      <c r="E18" s="175">
        <v>20</v>
      </c>
      <c r="F18" s="175"/>
      <c r="G18" s="175"/>
      <c r="H18" s="175"/>
      <c r="I18" s="175">
        <v>0</v>
      </c>
    </row>
    <row r="19" spans="1:9" s="154" customFormat="1" ht="20.399999999999999">
      <c r="B19" s="176" t="s">
        <v>1308</v>
      </c>
      <c r="C19" s="174"/>
      <c r="D19" s="175"/>
      <c r="E19" s="175"/>
      <c r="F19" s="175"/>
      <c r="G19" s="175"/>
      <c r="H19" s="175"/>
      <c r="I19" s="175"/>
    </row>
    <row r="20" spans="1:9" s="154" customFormat="1">
      <c r="B20" s="152" t="s">
        <v>1298</v>
      </c>
      <c r="C20" s="174"/>
      <c r="D20" s="175"/>
      <c r="E20" s="175"/>
      <c r="F20" s="175"/>
      <c r="G20" s="175"/>
      <c r="H20" s="175"/>
      <c r="I20" s="175"/>
    </row>
    <row r="21" spans="1:9" s="154" customFormat="1" ht="14.25" customHeight="1">
      <c r="B21" s="177" t="s">
        <v>1309</v>
      </c>
      <c r="C21" s="178"/>
      <c r="D21" s="179">
        <f t="shared" ref="D21:I21" si="0">SUM(D17:D20)</f>
        <v>75</v>
      </c>
      <c r="E21" s="179">
        <f t="shared" si="0"/>
        <v>40</v>
      </c>
      <c r="F21" s="179">
        <f t="shared" si="0"/>
        <v>-15.9</v>
      </c>
      <c r="G21" s="179">
        <f t="shared" si="0"/>
        <v>0</v>
      </c>
      <c r="H21" s="179">
        <f t="shared" si="0"/>
        <v>0</v>
      </c>
      <c r="I21" s="179">
        <f t="shared" si="0"/>
        <v>50.9</v>
      </c>
    </row>
    <row r="22" spans="1:9" s="154" customFormat="1" ht="9.75" customHeight="1">
      <c r="B22" s="180"/>
      <c r="C22" s="180"/>
      <c r="D22" s="180"/>
      <c r="E22" s="180"/>
      <c r="F22" s="180"/>
      <c r="G22" s="180"/>
      <c r="H22" s="180"/>
      <c r="I22" s="180"/>
    </row>
    <row r="23" spans="1:9" s="154" customFormat="1" ht="9.75" customHeight="1"/>
    <row r="24" spans="1:9" s="154" customFormat="1" ht="9.75" customHeight="1"/>
    <row r="25" spans="1:9" s="154" customFormat="1" ht="9.75" customHeight="1"/>
    <row r="26" spans="1:9" s="154" customFormat="1" ht="12" customHeight="1">
      <c r="I26" s="181" t="s">
        <v>1310</v>
      </c>
    </row>
    <row r="27" spans="1:9" s="154" customFormat="1" ht="9.75" customHeight="1">
      <c r="B27" s="182"/>
      <c r="C27" s="182"/>
      <c r="D27" s="182"/>
      <c r="E27" s="183"/>
      <c r="F27" s="184"/>
      <c r="G27" s="184"/>
      <c r="H27" s="184"/>
      <c r="I27" s="184" t="s">
        <v>1311</v>
      </c>
    </row>
    <row r="28" spans="1:9" s="154" customFormat="1" ht="11.1" customHeight="1">
      <c r="B28" s="182" t="s">
        <v>1312</v>
      </c>
      <c r="C28" s="182"/>
      <c r="D28" s="182"/>
      <c r="E28" s="183" t="s">
        <v>1312</v>
      </c>
      <c r="F28" s="184"/>
      <c r="G28" s="184"/>
      <c r="H28" s="184" t="s">
        <v>1313</v>
      </c>
      <c r="I28" s="185" t="s">
        <v>1314</v>
      </c>
    </row>
    <row r="29" spans="1:9" s="154" customFormat="1">
      <c r="B29" s="186" t="s">
        <v>1315</v>
      </c>
      <c r="C29" s="187"/>
      <c r="D29" s="187"/>
      <c r="E29" s="187" t="s">
        <v>1316</v>
      </c>
      <c r="F29" s="188" t="s">
        <v>1317</v>
      </c>
      <c r="G29" s="188" t="s">
        <v>1318</v>
      </c>
      <c r="H29" s="188" t="s">
        <v>1319</v>
      </c>
      <c r="I29" s="188" t="s">
        <v>1320</v>
      </c>
    </row>
    <row r="30" spans="1:9" s="154" customFormat="1">
      <c r="B30" s="189" t="s">
        <v>1321</v>
      </c>
      <c r="C30" s="189"/>
      <c r="D30" s="189"/>
      <c r="E30" s="189"/>
      <c r="F30" s="190"/>
      <c r="G30" s="191">
        <v>0</v>
      </c>
      <c r="H30" s="190"/>
      <c r="I30" s="190"/>
    </row>
    <row r="31" spans="1:9" s="158" customFormat="1">
      <c r="B31" s="192">
        <v>2015</v>
      </c>
      <c r="C31" s="192"/>
      <c r="D31" s="193" t="s">
        <v>642</v>
      </c>
      <c r="E31" s="193">
        <v>15</v>
      </c>
      <c r="F31" s="194">
        <v>6.5000000000000002E-2</v>
      </c>
      <c r="G31" s="192">
        <v>2025</v>
      </c>
      <c r="H31" s="195" t="s">
        <v>1322</v>
      </c>
      <c r="I31" s="196">
        <v>15</v>
      </c>
    </row>
    <row r="32" spans="1:9" s="158" customFormat="1">
      <c r="B32" s="192">
        <v>2018</v>
      </c>
      <c r="C32" s="192"/>
      <c r="D32" s="193" t="s">
        <v>642</v>
      </c>
      <c r="E32" s="193">
        <v>20</v>
      </c>
      <c r="F32" s="194">
        <v>0.06</v>
      </c>
      <c r="G32" s="192">
        <v>2028</v>
      </c>
      <c r="H32" s="195" t="s">
        <v>1323</v>
      </c>
      <c r="I32" s="196">
        <v>20</v>
      </c>
    </row>
    <row r="33" spans="1:9" s="154" customFormat="1">
      <c r="B33" s="192">
        <v>2019</v>
      </c>
      <c r="C33" s="192"/>
      <c r="D33" s="193" t="s">
        <v>642</v>
      </c>
      <c r="E33" s="193">
        <v>20</v>
      </c>
      <c r="F33" s="194">
        <v>0.06</v>
      </c>
      <c r="G33" s="192">
        <v>2028</v>
      </c>
      <c r="H33" s="195" t="s">
        <v>1323</v>
      </c>
      <c r="I33" s="196">
        <v>20</v>
      </c>
    </row>
    <row r="34" spans="1:9" s="154" customFormat="1">
      <c r="B34" s="192">
        <v>2019</v>
      </c>
      <c r="C34" s="192"/>
      <c r="D34" s="193" t="s">
        <v>642</v>
      </c>
      <c r="E34" s="193">
        <v>20</v>
      </c>
      <c r="F34" s="194">
        <v>0.08</v>
      </c>
      <c r="G34" s="192" t="s">
        <v>1172</v>
      </c>
      <c r="H34" s="195" t="s">
        <v>1382</v>
      </c>
      <c r="I34" s="196">
        <v>20</v>
      </c>
    </row>
    <row r="35" spans="1:9" s="154" customFormat="1">
      <c r="B35" s="190" t="s">
        <v>1324</v>
      </c>
      <c r="C35" s="190"/>
      <c r="D35" s="190"/>
      <c r="E35" s="190"/>
      <c r="F35" s="190"/>
      <c r="G35" s="191">
        <v>0</v>
      </c>
      <c r="H35" s="197"/>
      <c r="I35" s="190">
        <f>SUM(I31:I34)</f>
        <v>75</v>
      </c>
    </row>
    <row r="36" spans="1:9" s="154" customFormat="1">
      <c r="B36" s="189"/>
      <c r="C36" s="189"/>
      <c r="D36" s="189"/>
      <c r="E36" s="189"/>
      <c r="F36" s="190"/>
      <c r="G36" s="191"/>
      <c r="H36" s="190"/>
      <c r="I36" s="190"/>
    </row>
    <row r="37" spans="1:9" s="146" customFormat="1">
      <c r="A37" s="198"/>
    </row>
  </sheetData>
  <sheetProtection formatCells="0" formatColumns="0" formatRows="0" insertColumns="0" insertRows="0" insertHyperlinks="0" deleteColumns="0" deleteRows="0" sort="0" autoFilter="0" pivotTables="0"/>
  <mergeCells count="2">
    <mergeCell ref="B12:F12"/>
    <mergeCell ref="G12:H12"/>
  </mergeCells>
  <pageMargins left="0.25" right="0.25" top="0.75" bottom="0.75" header="0.3" footer="0.3"/>
  <pageSetup paperSize="9" scale="90" fitToWidth="0"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workbookViewId="0">
      <selection activeCell="H17" sqref="H17"/>
    </sheetView>
  </sheetViews>
  <sheetFormatPr defaultColWidth="9.109375" defaultRowHeight="13.2"/>
  <cols>
    <col min="1" max="1" width="25.88671875" style="10" customWidth="1"/>
    <col min="2" max="2" width="15.5546875" style="10" customWidth="1"/>
    <col min="3" max="3" width="19.5546875" style="10" customWidth="1"/>
    <col min="4" max="7" width="15.5546875" style="10" customWidth="1"/>
    <col min="8" max="16384" width="9.109375" style="10"/>
  </cols>
  <sheetData>
    <row r="1" spans="1:7">
      <c r="A1" s="11" t="s">
        <v>653</v>
      </c>
    </row>
    <row r="7" spans="1:7">
      <c r="B7" s="52" t="s">
        <v>654</v>
      </c>
      <c r="C7" s="52"/>
      <c r="D7" s="52" t="s">
        <v>557</v>
      </c>
      <c r="E7" s="52"/>
      <c r="F7" s="52" t="s">
        <v>301</v>
      </c>
      <c r="G7" s="52"/>
    </row>
    <row r="8" spans="1:7">
      <c r="A8" s="12" t="s">
        <v>231</v>
      </c>
      <c r="B8" s="12" t="s">
        <v>184</v>
      </c>
      <c r="C8" s="12" t="s">
        <v>374</v>
      </c>
      <c r="D8" s="12" t="s">
        <v>184</v>
      </c>
      <c r="E8" s="12" t="s">
        <v>374</v>
      </c>
      <c r="F8" s="12" t="s">
        <v>184</v>
      </c>
      <c r="G8" s="12" t="s">
        <v>374</v>
      </c>
    </row>
    <row r="9" spans="1:7">
      <c r="A9" s="10" t="s">
        <v>655</v>
      </c>
      <c r="B9" s="43"/>
      <c r="C9" s="43"/>
      <c r="D9" s="43"/>
      <c r="E9" s="43"/>
      <c r="F9" s="43"/>
      <c r="G9" s="43"/>
    </row>
    <row r="10" spans="1:7">
      <c r="A10" s="10" t="s">
        <v>621</v>
      </c>
      <c r="B10" s="43"/>
      <c r="C10" s="43"/>
      <c r="D10" s="43"/>
      <c r="E10" s="43"/>
      <c r="F10" s="43"/>
      <c r="G10" s="43"/>
    </row>
    <row r="11" spans="1:7">
      <c r="A11" s="10" t="s">
        <v>622</v>
      </c>
      <c r="B11" s="43"/>
      <c r="C11" s="43"/>
      <c r="D11" s="43"/>
      <c r="E11" s="43"/>
      <c r="F11" s="43"/>
      <c r="G11" s="43"/>
    </row>
    <row r="12" spans="1:7">
      <c r="A12" s="10" t="s">
        <v>623</v>
      </c>
      <c r="B12" s="43"/>
      <c r="C12" s="43"/>
      <c r="D12" s="43"/>
      <c r="E12" s="43"/>
      <c r="F12" s="43"/>
      <c r="G12" s="43"/>
    </row>
    <row r="13" spans="1:7">
      <c r="A13" s="10" t="s">
        <v>624</v>
      </c>
      <c r="B13" s="43"/>
      <c r="C13" s="43"/>
      <c r="D13" s="43"/>
      <c r="E13" s="43"/>
      <c r="F13" s="43"/>
      <c r="G13" s="43"/>
    </row>
    <row r="14" spans="1:7">
      <c r="A14" s="10" t="s">
        <v>625</v>
      </c>
      <c r="B14" s="43"/>
      <c r="C14" s="43"/>
      <c r="D14" s="43"/>
      <c r="E14" s="43"/>
      <c r="F14" s="43"/>
      <c r="G14" s="43"/>
    </row>
    <row r="15" spans="1:7">
      <c r="A15" s="10" t="s">
        <v>626</v>
      </c>
      <c r="B15" s="43"/>
      <c r="C15" s="43"/>
      <c r="D15" s="43"/>
      <c r="E15" s="43"/>
      <c r="F15" s="43"/>
      <c r="G15" s="43"/>
    </row>
    <row r="16" spans="1:7">
      <c r="A16" s="10" t="s">
        <v>656</v>
      </c>
      <c r="B16" s="43"/>
      <c r="C16" s="43"/>
      <c r="D16" s="43"/>
      <c r="E16" s="43"/>
      <c r="F16" s="43"/>
      <c r="G16" s="43"/>
    </row>
    <row r="17" spans="1:7">
      <c r="A17" s="10" t="s">
        <v>621</v>
      </c>
      <c r="B17" s="43"/>
      <c r="C17" s="43"/>
      <c r="D17" s="43"/>
      <c r="E17" s="43"/>
      <c r="F17" s="43"/>
      <c r="G17" s="43"/>
    </row>
    <row r="18" spans="1:7">
      <c r="A18" s="10" t="s">
        <v>622</v>
      </c>
      <c r="B18" s="43"/>
      <c r="C18" s="43"/>
      <c r="D18" s="43"/>
      <c r="E18" s="43"/>
      <c r="F18" s="43"/>
      <c r="G18" s="43"/>
    </row>
    <row r="19" spans="1:7">
      <c r="A19" s="10" t="s">
        <v>623</v>
      </c>
      <c r="B19" s="43"/>
      <c r="C19" s="43"/>
      <c r="D19" s="43"/>
      <c r="E19" s="43"/>
      <c r="F19" s="43"/>
      <c r="G19" s="43"/>
    </row>
    <row r="20" spans="1:7">
      <c r="A20" s="10" t="s">
        <v>624</v>
      </c>
      <c r="B20" s="43"/>
      <c r="C20" s="43"/>
      <c r="D20" s="43"/>
      <c r="E20" s="43"/>
      <c r="F20" s="43"/>
      <c r="G20" s="43"/>
    </row>
    <row r="21" spans="1:7">
      <c r="A21" s="10" t="s">
        <v>625</v>
      </c>
      <c r="B21" s="43"/>
      <c r="C21" s="43"/>
      <c r="D21" s="43"/>
      <c r="E21" s="43"/>
      <c r="F21" s="43"/>
      <c r="G21" s="43"/>
    </row>
    <row r="22" spans="1:7">
      <c r="A22" s="10" t="s">
        <v>626</v>
      </c>
      <c r="B22" s="43"/>
      <c r="C22" s="43"/>
      <c r="D22" s="43"/>
      <c r="E22" s="43"/>
      <c r="F22" s="43"/>
      <c r="G22" s="43"/>
    </row>
    <row r="23" spans="1:7">
      <c r="A23" s="10" t="s">
        <v>657</v>
      </c>
      <c r="B23" s="43"/>
      <c r="C23" s="43"/>
      <c r="D23" s="43"/>
      <c r="E23" s="43"/>
      <c r="F23" s="43"/>
      <c r="G23" s="43"/>
    </row>
    <row r="24" spans="1:7">
      <c r="A24" s="10" t="s">
        <v>658</v>
      </c>
      <c r="B24" s="43"/>
      <c r="C24" s="43"/>
      <c r="D24" s="43"/>
      <c r="E24" s="43"/>
      <c r="F24" s="43"/>
      <c r="G24" s="43"/>
    </row>
    <row r="25" spans="1:7">
      <c r="A25" s="10" t="s">
        <v>659</v>
      </c>
      <c r="B25" s="43"/>
      <c r="C25" s="43"/>
      <c r="D25" s="43"/>
      <c r="E25" s="43"/>
      <c r="F25" s="43"/>
      <c r="G25" s="43"/>
    </row>
    <row r="26" spans="1:7">
      <c r="A26" s="10" t="s">
        <v>660</v>
      </c>
      <c r="B26" s="43"/>
      <c r="C26" s="43"/>
      <c r="D26" s="43"/>
      <c r="E26" s="43"/>
      <c r="F26" s="43"/>
      <c r="G26" s="43"/>
    </row>
    <row r="27" spans="1:7">
      <c r="A27" s="10" t="s">
        <v>621</v>
      </c>
      <c r="B27" s="43"/>
      <c r="C27" s="43"/>
      <c r="D27" s="43"/>
      <c r="E27" s="43"/>
      <c r="F27" s="43"/>
      <c r="G27" s="43"/>
    </row>
    <row r="28" spans="1:7">
      <c r="A28" s="10" t="s">
        <v>622</v>
      </c>
      <c r="B28" s="43"/>
      <c r="C28" s="43"/>
      <c r="D28" s="43"/>
      <c r="E28" s="43"/>
      <c r="F28" s="43"/>
      <c r="G28" s="43"/>
    </row>
    <row r="29" spans="1:7">
      <c r="A29" s="10" t="s">
        <v>661</v>
      </c>
      <c r="B29" s="43"/>
      <c r="C29" s="43"/>
      <c r="D29" s="43"/>
      <c r="E29" s="43"/>
      <c r="F29" s="43"/>
      <c r="G29" s="43"/>
    </row>
    <row r="30" spans="1:7">
      <c r="A30" s="10" t="s">
        <v>624</v>
      </c>
      <c r="B30" s="43"/>
      <c r="C30" s="43"/>
      <c r="D30" s="43"/>
      <c r="E30" s="43"/>
      <c r="F30" s="43"/>
      <c r="G30" s="43"/>
    </row>
    <row r="31" spans="1:7">
      <c r="A31" s="10" t="s">
        <v>301</v>
      </c>
      <c r="B31" s="43"/>
      <c r="C31" s="43"/>
      <c r="D31" s="43"/>
      <c r="E31" s="43"/>
      <c r="F31" s="43"/>
      <c r="G31" s="43"/>
    </row>
    <row r="34" spans="1:7">
      <c r="B34" s="52" t="s">
        <v>654</v>
      </c>
      <c r="C34" s="52"/>
      <c r="D34" s="52" t="s">
        <v>557</v>
      </c>
      <c r="E34" s="52"/>
      <c r="F34" s="52" t="s">
        <v>301</v>
      </c>
      <c r="G34" s="52"/>
    </row>
    <row r="35" spans="1:7">
      <c r="A35" s="12" t="s">
        <v>238</v>
      </c>
      <c r="B35" s="12" t="s">
        <v>184</v>
      </c>
      <c r="C35" s="12" t="s">
        <v>374</v>
      </c>
      <c r="D35" s="12" t="s">
        <v>184</v>
      </c>
      <c r="E35" s="12" t="s">
        <v>374</v>
      </c>
      <c r="F35" s="12" t="s">
        <v>184</v>
      </c>
      <c r="G35" s="12" t="s">
        <v>374</v>
      </c>
    </row>
    <row r="36" spans="1:7">
      <c r="A36" s="10" t="s">
        <v>655</v>
      </c>
      <c r="B36" s="43"/>
      <c r="C36" s="43"/>
      <c r="D36" s="43"/>
      <c r="E36" s="43"/>
      <c r="F36" s="43"/>
      <c r="G36" s="43"/>
    </row>
    <row r="37" spans="1:7">
      <c r="A37" s="10" t="s">
        <v>621</v>
      </c>
      <c r="B37" s="43"/>
      <c r="C37" s="43"/>
      <c r="D37" s="43"/>
      <c r="E37" s="43"/>
      <c r="F37" s="43"/>
      <c r="G37" s="43"/>
    </row>
    <row r="38" spans="1:7">
      <c r="A38" s="10" t="s">
        <v>622</v>
      </c>
      <c r="B38" s="43"/>
      <c r="C38" s="43"/>
      <c r="D38" s="43"/>
      <c r="E38" s="43"/>
      <c r="F38" s="43"/>
      <c r="G38" s="43"/>
    </row>
    <row r="39" spans="1:7">
      <c r="A39" s="10" t="s">
        <v>623</v>
      </c>
      <c r="B39" s="43"/>
      <c r="C39" s="43"/>
      <c r="D39" s="43"/>
      <c r="E39" s="43"/>
      <c r="F39" s="43"/>
      <c r="G39" s="43"/>
    </row>
    <row r="40" spans="1:7">
      <c r="A40" s="10" t="s">
        <v>624</v>
      </c>
      <c r="B40" s="43"/>
      <c r="C40" s="43"/>
      <c r="D40" s="43"/>
      <c r="E40" s="43"/>
      <c r="F40" s="43"/>
      <c r="G40" s="43"/>
    </row>
    <row r="41" spans="1:7">
      <c r="A41" s="10" t="s">
        <v>625</v>
      </c>
      <c r="B41" s="43"/>
      <c r="C41" s="43"/>
      <c r="D41" s="43"/>
      <c r="E41" s="43"/>
      <c r="F41" s="43"/>
      <c r="G41" s="43"/>
    </row>
    <row r="42" spans="1:7">
      <c r="A42" s="10" t="s">
        <v>626</v>
      </c>
      <c r="B42" s="43"/>
      <c r="C42" s="43"/>
      <c r="D42" s="43"/>
      <c r="E42" s="43"/>
      <c r="F42" s="43"/>
      <c r="G42" s="43"/>
    </row>
    <row r="43" spans="1:7">
      <c r="A43" s="10" t="s">
        <v>656</v>
      </c>
      <c r="B43" s="43"/>
      <c r="C43" s="43"/>
      <c r="D43" s="43"/>
      <c r="E43" s="43"/>
      <c r="F43" s="43"/>
      <c r="G43" s="43"/>
    </row>
    <row r="44" spans="1:7">
      <c r="A44" s="10" t="s">
        <v>621</v>
      </c>
      <c r="B44" s="43"/>
      <c r="C44" s="43"/>
      <c r="D44" s="43"/>
      <c r="E44" s="43"/>
      <c r="F44" s="43"/>
      <c r="G44" s="43"/>
    </row>
    <row r="45" spans="1:7">
      <c r="A45" s="10" t="s">
        <v>622</v>
      </c>
      <c r="B45" s="43"/>
      <c r="C45" s="43"/>
      <c r="D45" s="43"/>
      <c r="E45" s="43"/>
      <c r="F45" s="43"/>
      <c r="G45" s="43"/>
    </row>
    <row r="46" spans="1:7">
      <c r="A46" s="10" t="s">
        <v>623</v>
      </c>
      <c r="B46" s="43"/>
      <c r="C46" s="43"/>
      <c r="D46" s="43"/>
      <c r="E46" s="43"/>
      <c r="F46" s="43"/>
      <c r="G46" s="43"/>
    </row>
    <row r="47" spans="1:7">
      <c r="A47" s="10" t="s">
        <v>624</v>
      </c>
      <c r="B47" s="43"/>
      <c r="C47" s="43"/>
      <c r="D47" s="43"/>
      <c r="E47" s="43"/>
      <c r="F47" s="43"/>
      <c r="G47" s="43"/>
    </row>
    <row r="48" spans="1:7">
      <c r="A48" s="10" t="s">
        <v>625</v>
      </c>
      <c r="B48" s="43"/>
      <c r="C48" s="43"/>
      <c r="D48" s="43"/>
      <c r="E48" s="43"/>
      <c r="F48" s="43"/>
      <c r="G48" s="43"/>
    </row>
    <row r="49" spans="1:7">
      <c r="A49" s="10" t="s">
        <v>626</v>
      </c>
      <c r="B49" s="43"/>
      <c r="C49" s="43"/>
      <c r="D49" s="43"/>
      <c r="E49" s="43"/>
      <c r="F49" s="43"/>
      <c r="G49" s="43"/>
    </row>
    <row r="50" spans="1:7">
      <c r="A50" s="10" t="s">
        <v>657</v>
      </c>
      <c r="B50" s="43"/>
      <c r="C50" s="43"/>
      <c r="D50" s="43"/>
      <c r="E50" s="43"/>
      <c r="F50" s="43"/>
      <c r="G50" s="43"/>
    </row>
    <row r="51" spans="1:7">
      <c r="A51" s="10" t="s">
        <v>658</v>
      </c>
      <c r="B51" s="43"/>
      <c r="C51" s="43"/>
      <c r="D51" s="43"/>
      <c r="E51" s="43"/>
      <c r="F51" s="43"/>
      <c r="G51" s="43"/>
    </row>
    <row r="52" spans="1:7">
      <c r="A52" s="10" t="s">
        <v>659</v>
      </c>
      <c r="B52" s="43"/>
      <c r="C52" s="43"/>
      <c r="D52" s="43"/>
      <c r="E52" s="43"/>
      <c r="F52" s="43"/>
      <c r="G52" s="43"/>
    </row>
    <row r="53" spans="1:7">
      <c r="A53" s="10" t="s">
        <v>660</v>
      </c>
      <c r="B53" s="43"/>
      <c r="C53" s="43"/>
      <c r="D53" s="43"/>
      <c r="E53" s="43"/>
      <c r="F53" s="43"/>
      <c r="G53" s="43"/>
    </row>
    <row r="54" spans="1:7">
      <c r="A54" s="10" t="s">
        <v>621</v>
      </c>
      <c r="B54" s="43"/>
      <c r="C54" s="43"/>
      <c r="D54" s="43"/>
      <c r="E54" s="43"/>
      <c r="F54" s="43"/>
      <c r="G54" s="43"/>
    </row>
    <row r="55" spans="1:7">
      <c r="A55" s="10" t="s">
        <v>622</v>
      </c>
      <c r="B55" s="43"/>
      <c r="C55" s="43"/>
      <c r="D55" s="43"/>
      <c r="E55" s="43"/>
      <c r="F55" s="43"/>
      <c r="G55" s="43"/>
    </row>
    <row r="56" spans="1:7">
      <c r="A56" s="10" t="s">
        <v>661</v>
      </c>
      <c r="B56" s="43"/>
      <c r="C56" s="43"/>
      <c r="D56" s="43"/>
      <c r="E56" s="43"/>
      <c r="F56" s="43"/>
      <c r="G56" s="43"/>
    </row>
    <row r="57" spans="1:7">
      <c r="A57" s="10" t="s">
        <v>624</v>
      </c>
      <c r="B57" s="43"/>
      <c r="C57" s="43"/>
      <c r="D57" s="43"/>
      <c r="E57" s="43"/>
      <c r="F57" s="43"/>
      <c r="G57" s="43"/>
    </row>
    <row r="58" spans="1:7">
      <c r="A58" s="10" t="s">
        <v>301</v>
      </c>
      <c r="B58" s="43"/>
      <c r="C58" s="43"/>
      <c r="D58" s="43"/>
      <c r="E58" s="43"/>
      <c r="F58" s="43"/>
      <c r="G58" s="43"/>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heetViews>
  <sheetFormatPr defaultColWidth="9.109375" defaultRowHeight="13.2"/>
  <cols>
    <col min="1" max="16384" width="9.109375" style="10"/>
  </cols>
  <sheetData>
    <row r="1" spans="1:9">
      <c r="A1" s="11" t="s">
        <v>662</v>
      </c>
      <c r="I1" s="15" t="s">
        <v>121</v>
      </c>
    </row>
    <row r="3" spans="1:9">
      <c r="A3" s="10" t="s">
        <v>95</v>
      </c>
      <c r="I3" s="10">
        <v>65</v>
      </c>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B26" sqref="B26"/>
    </sheetView>
  </sheetViews>
  <sheetFormatPr defaultColWidth="9.109375" defaultRowHeight="13.2"/>
  <cols>
    <col min="1" max="1" width="35.6640625" style="10" customWidth="1"/>
    <col min="2" max="2" width="15.5546875" style="10" bestFit="1" customWidth="1"/>
    <col min="3" max="3" width="12.88671875" style="10" bestFit="1" customWidth="1"/>
    <col min="4" max="4" width="15.5546875" style="10" bestFit="1" customWidth="1"/>
    <col min="5" max="5" width="12.88671875" style="10" bestFit="1" customWidth="1"/>
    <col min="6" max="16384" width="9.109375" style="10"/>
  </cols>
  <sheetData>
    <row r="1" spans="1:5">
      <c r="A1" s="11" t="s">
        <v>663</v>
      </c>
    </row>
    <row r="3" spans="1:5">
      <c r="B3" s="12">
        <v>2019</v>
      </c>
      <c r="C3" s="12"/>
      <c r="D3" s="12">
        <v>2018</v>
      </c>
      <c r="E3" s="12"/>
    </row>
    <row r="4" spans="1:5">
      <c r="A4" s="12" t="s">
        <v>1369</v>
      </c>
      <c r="B4" s="12" t="s">
        <v>1367</v>
      </c>
      <c r="C4" s="12" t="s">
        <v>1368</v>
      </c>
      <c r="D4" s="12" t="s">
        <v>1367</v>
      </c>
      <c r="E4" s="12" t="s">
        <v>1368</v>
      </c>
    </row>
    <row r="5" spans="1:5">
      <c r="A5" s="10" t="s">
        <v>1370</v>
      </c>
      <c r="B5" s="10">
        <v>1</v>
      </c>
      <c r="C5" s="10">
        <v>7691.31</v>
      </c>
      <c r="D5" s="10">
        <v>1</v>
      </c>
      <c r="E5" s="37">
        <v>6459</v>
      </c>
    </row>
    <row r="6" spans="1:5">
      <c r="A6" s="10" t="s">
        <v>1371</v>
      </c>
      <c r="B6" s="10">
        <v>0</v>
      </c>
      <c r="C6" s="10">
        <v>0</v>
      </c>
      <c r="D6" s="10">
        <v>0</v>
      </c>
      <c r="E6" s="10">
        <v>0</v>
      </c>
    </row>
    <row r="7" spans="1:5">
      <c r="A7" s="10" t="s">
        <v>1372</v>
      </c>
      <c r="B7" s="43">
        <v>0</v>
      </c>
      <c r="C7" s="10">
        <v>0</v>
      </c>
      <c r="D7" s="10">
        <v>0</v>
      </c>
      <c r="E7" s="10">
        <v>0</v>
      </c>
    </row>
    <row r="8" spans="1:5">
      <c r="B8" s="43"/>
      <c r="C8" s="43"/>
      <c r="D8" s="43"/>
      <c r="E8" s="43"/>
    </row>
    <row r="9" spans="1:5">
      <c r="B9" s="43"/>
      <c r="C9" s="43"/>
      <c r="D9" s="43"/>
      <c r="E9" s="43"/>
    </row>
    <row r="10" spans="1:5">
      <c r="B10" s="43"/>
      <c r="C10" s="43"/>
      <c r="D10" s="43"/>
      <c r="E10" s="43"/>
    </row>
    <row r="11" spans="1:5">
      <c r="B11" s="43"/>
      <c r="C11" s="43"/>
      <c r="D11" s="43"/>
      <c r="E11" s="43"/>
    </row>
    <row r="12" spans="1:5">
      <c r="B12" s="43"/>
      <c r="C12" s="43"/>
      <c r="D12" s="43"/>
      <c r="E12" s="43"/>
    </row>
    <row r="13" spans="1:5">
      <c r="B13" s="43"/>
      <c r="C13" s="43"/>
      <c r="D13" s="43"/>
      <c r="E13" s="43"/>
    </row>
    <row r="14" spans="1:5">
      <c r="B14" s="43"/>
      <c r="C14" s="43"/>
      <c r="D14" s="43"/>
      <c r="E14" s="43"/>
    </row>
    <row r="15" spans="1:5">
      <c r="B15" s="43"/>
      <c r="C15" s="43"/>
      <c r="D15" s="43"/>
      <c r="E15" s="43"/>
    </row>
    <row r="16" spans="1:5">
      <c r="B16" s="43"/>
      <c r="C16" s="43"/>
      <c r="D16" s="43"/>
      <c r="E16" s="43"/>
    </row>
    <row r="17" spans="2:5">
      <c r="B17" s="43"/>
      <c r="C17" s="43"/>
      <c r="D17" s="43"/>
      <c r="E17" s="43"/>
    </row>
    <row r="18" spans="2:5">
      <c r="B18" s="43"/>
      <c r="C18" s="43"/>
      <c r="D18" s="43"/>
      <c r="E18" s="43"/>
    </row>
    <row r="19" spans="2:5">
      <c r="B19" s="43"/>
      <c r="C19" s="43"/>
      <c r="D19" s="43"/>
      <c r="E19" s="43"/>
    </row>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J23" sqref="J23"/>
    </sheetView>
  </sheetViews>
  <sheetFormatPr defaultColWidth="9.109375" defaultRowHeight="13.2"/>
  <cols>
    <col min="1" max="16384" width="9.109375" style="10"/>
  </cols>
  <sheetData>
    <row r="1" spans="1:10">
      <c r="A1" s="11" t="s">
        <v>96</v>
      </c>
      <c r="H1" s="15" t="s">
        <v>121</v>
      </c>
    </row>
    <row r="3" spans="1:10">
      <c r="A3" s="10" t="s">
        <v>97</v>
      </c>
      <c r="H3" s="10">
        <v>66</v>
      </c>
      <c r="J3" s="10" t="s">
        <v>1207</v>
      </c>
    </row>
    <row r="4" spans="1:10">
      <c r="A4" s="10" t="s">
        <v>98</v>
      </c>
      <c r="H4" s="10">
        <v>67</v>
      </c>
      <c r="J4" s="10" t="s">
        <v>1207</v>
      </c>
    </row>
    <row r="5" spans="1:10">
      <c r="A5" s="10" t="s">
        <v>99</v>
      </c>
      <c r="H5" s="10">
        <v>68</v>
      </c>
      <c r="J5" s="10" t="s">
        <v>1207</v>
      </c>
    </row>
    <row r="6" spans="1:10">
      <c r="A6" s="10" t="s">
        <v>100</v>
      </c>
      <c r="H6" s="10">
        <v>69</v>
      </c>
      <c r="J6" s="10" t="s">
        <v>1207</v>
      </c>
    </row>
    <row r="7" spans="1:10">
      <c r="A7" s="10" t="s">
        <v>101</v>
      </c>
      <c r="H7" s="10">
        <v>70</v>
      </c>
      <c r="J7" s="10" t="s">
        <v>1207</v>
      </c>
    </row>
    <row r="8" spans="1:10">
      <c r="A8" s="10" t="s">
        <v>664</v>
      </c>
      <c r="H8" s="10">
        <v>71</v>
      </c>
      <c r="J8" s="10" t="s">
        <v>1207</v>
      </c>
    </row>
    <row r="9" spans="1:10">
      <c r="A9" s="10" t="s">
        <v>103</v>
      </c>
      <c r="H9" s="10">
        <v>72</v>
      </c>
      <c r="J9" s="10" t="s">
        <v>1207</v>
      </c>
    </row>
    <row r="10" spans="1:10">
      <c r="A10" s="10" t="s">
        <v>104</v>
      </c>
      <c r="H10" s="10">
        <v>73</v>
      </c>
      <c r="J10" s="10" t="s">
        <v>1207</v>
      </c>
    </row>
    <row r="11" spans="1:10">
      <c r="A11" s="10" t="s">
        <v>105</v>
      </c>
      <c r="H11" s="10">
        <v>74</v>
      </c>
      <c r="J11" s="10" t="s">
        <v>1207</v>
      </c>
    </row>
    <row r="12" spans="1:10">
      <c r="A12" s="10" t="s">
        <v>106</v>
      </c>
      <c r="H12" s="10">
        <v>75</v>
      </c>
      <c r="J12" s="10" t="s">
        <v>1207</v>
      </c>
    </row>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election activeCell="B32" sqref="B32"/>
    </sheetView>
  </sheetViews>
  <sheetFormatPr defaultColWidth="9.109375" defaultRowHeight="13.2"/>
  <cols>
    <col min="1" max="1" width="5.33203125" style="15" customWidth="1"/>
    <col min="2" max="2" width="88.44140625" style="10" customWidth="1"/>
    <col min="3" max="10" width="15.109375" style="10" customWidth="1"/>
    <col min="11" max="16384" width="9.109375" style="10"/>
  </cols>
  <sheetData>
    <row r="1" spans="1:10">
      <c r="A1" s="96" t="s">
        <v>708</v>
      </c>
    </row>
    <row r="5" spans="1:10">
      <c r="C5" s="23" t="s">
        <v>665</v>
      </c>
      <c r="D5" s="23"/>
      <c r="E5" s="23"/>
      <c r="F5" s="23"/>
      <c r="G5" s="23" t="s">
        <v>666</v>
      </c>
      <c r="H5" s="23"/>
      <c r="I5" s="23"/>
      <c r="J5" s="23"/>
    </row>
    <row r="6" spans="1:10">
      <c r="B6" s="12" t="s">
        <v>123</v>
      </c>
      <c r="C6" s="16" t="s">
        <v>667</v>
      </c>
      <c r="D6" s="16" t="s">
        <v>668</v>
      </c>
      <c r="E6" s="16" t="s">
        <v>669</v>
      </c>
      <c r="F6" s="16" t="s">
        <v>670</v>
      </c>
      <c r="G6" s="16" t="s">
        <v>667</v>
      </c>
      <c r="H6" s="16" t="s">
        <v>668</v>
      </c>
      <c r="I6" s="16" t="s">
        <v>669</v>
      </c>
      <c r="J6" s="16" t="s">
        <v>670</v>
      </c>
    </row>
    <row r="7" spans="1:10">
      <c r="B7" s="13" t="s">
        <v>671</v>
      </c>
      <c r="C7" s="13">
        <v>12</v>
      </c>
      <c r="D7" s="13">
        <v>12</v>
      </c>
      <c r="E7" s="13">
        <v>12</v>
      </c>
      <c r="F7" s="13">
        <v>12</v>
      </c>
      <c r="G7" s="13">
        <v>12</v>
      </c>
      <c r="H7" s="13">
        <v>12</v>
      </c>
      <c r="I7" s="13">
        <v>12</v>
      </c>
      <c r="J7" s="13">
        <v>12</v>
      </c>
    </row>
    <row r="8" spans="1:10">
      <c r="B8" s="10" t="s">
        <v>672</v>
      </c>
    </row>
    <row r="9" spans="1:10">
      <c r="A9" s="15">
        <v>1</v>
      </c>
      <c r="B9" s="10" t="s">
        <v>673</v>
      </c>
      <c r="G9" s="43">
        <v>1153.179425627465</v>
      </c>
      <c r="H9" s="43">
        <v>995.42256087846579</v>
      </c>
      <c r="I9" s="43">
        <v>850.4070201418906</v>
      </c>
      <c r="J9" s="43">
        <v>817.45111682742129</v>
      </c>
    </row>
    <row r="11" spans="1:10">
      <c r="B11" s="10" t="s">
        <v>674</v>
      </c>
    </row>
    <row r="12" spans="1:10">
      <c r="A12" s="15">
        <v>2</v>
      </c>
      <c r="B12" s="10" t="s">
        <v>675</v>
      </c>
      <c r="C12" s="43">
        <v>943.66392574999441</v>
      </c>
      <c r="D12" s="43">
        <v>867.69796484999597</v>
      </c>
      <c r="E12" s="43">
        <v>798.03772161582935</v>
      </c>
      <c r="F12" s="43">
        <v>733.39277856916442</v>
      </c>
      <c r="G12" s="43">
        <v>71.261518755458056</v>
      </c>
      <c r="H12" s="43">
        <v>65.023631056166465</v>
      </c>
      <c r="I12" s="43">
        <v>59.747573968166478</v>
      </c>
      <c r="J12" s="43">
        <v>54.93288520874988</v>
      </c>
    </row>
    <row r="13" spans="1:10">
      <c r="A13" s="15">
        <v>3</v>
      </c>
      <c r="B13" s="10" t="s">
        <v>676</v>
      </c>
      <c r="C13" s="43">
        <v>594.2037836274942</v>
      </c>
      <c r="D13" s="43">
        <v>553.4774921266627</v>
      </c>
      <c r="E13" s="43">
        <v>512.86562757749607</v>
      </c>
      <c r="F13" s="43">
        <v>473.41042618416429</v>
      </c>
      <c r="G13" s="43">
        <v>29.710189181374712</v>
      </c>
      <c r="H13" s="43">
        <v>27.673874606333136</v>
      </c>
      <c r="I13" s="43">
        <v>25.643281378874804</v>
      </c>
      <c r="J13" s="43">
        <v>23.670521309208219</v>
      </c>
    </row>
    <row r="14" spans="1:10">
      <c r="A14" s="15">
        <v>4</v>
      </c>
      <c r="B14" s="10" t="s">
        <v>677</v>
      </c>
      <c r="C14" s="43">
        <v>349.46014212249997</v>
      </c>
      <c r="D14" s="43">
        <v>314.22047272333327</v>
      </c>
      <c r="E14" s="43">
        <v>285.17209403833334</v>
      </c>
      <c r="F14" s="43">
        <v>259.98235238500007</v>
      </c>
      <c r="G14" s="43">
        <v>41.551329574083333</v>
      </c>
      <c r="H14" s="43">
        <v>37.349756449833329</v>
      </c>
      <c r="I14" s="43">
        <v>34.104292589291667</v>
      </c>
      <c r="J14" s="43">
        <v>31.262363899541665</v>
      </c>
    </row>
    <row r="15" spans="1:10">
      <c r="A15" s="15">
        <v>5</v>
      </c>
      <c r="B15" s="10" t="s">
        <v>678</v>
      </c>
      <c r="C15" s="43">
        <v>824.79712496583352</v>
      </c>
      <c r="D15" s="43">
        <v>699.4880415191667</v>
      </c>
      <c r="E15" s="43">
        <v>652.64232694583325</v>
      </c>
      <c r="F15" s="43">
        <v>682.16623427083323</v>
      </c>
      <c r="G15" s="43">
        <v>587.20813302066699</v>
      </c>
      <c r="H15" s="43">
        <v>503.10480561200006</v>
      </c>
      <c r="I15" s="43">
        <v>482.93267472766644</v>
      </c>
      <c r="J15" s="43">
        <v>528.38818690383323</v>
      </c>
    </row>
    <row r="16" spans="1:10">
      <c r="A16" s="15">
        <v>6</v>
      </c>
      <c r="B16" s="10" t="s">
        <v>679</v>
      </c>
      <c r="C16" s="43"/>
      <c r="D16" s="43"/>
      <c r="E16" s="43"/>
      <c r="F16" s="43"/>
      <c r="G16" s="43"/>
      <c r="H16" s="43"/>
      <c r="I16" s="43"/>
      <c r="J16" s="43"/>
    </row>
    <row r="17" spans="1:10">
      <c r="A17" s="15">
        <v>7</v>
      </c>
      <c r="B17" s="10" t="s">
        <v>680</v>
      </c>
      <c r="C17" s="43"/>
      <c r="D17" s="43"/>
      <c r="E17" s="43"/>
      <c r="F17" s="43"/>
      <c r="G17" s="43"/>
      <c r="H17" s="43"/>
      <c r="I17" s="43"/>
      <c r="J17" s="43"/>
    </row>
    <row r="18" spans="1:10">
      <c r="A18" s="15">
        <v>8</v>
      </c>
      <c r="B18" s="10" t="s">
        <v>681</v>
      </c>
      <c r="C18" s="43">
        <v>824.79712496583352</v>
      </c>
      <c r="D18" s="43">
        <v>699.4880415191667</v>
      </c>
      <c r="E18" s="43">
        <v>652.64232694583325</v>
      </c>
      <c r="F18" s="43">
        <v>682.16623427083323</v>
      </c>
      <c r="G18" s="43">
        <v>587.20813302066699</v>
      </c>
      <c r="H18" s="43">
        <v>503.10480561200006</v>
      </c>
      <c r="I18" s="43">
        <v>482.93267472766644</v>
      </c>
      <c r="J18" s="43">
        <v>528.38818690383323</v>
      </c>
    </row>
    <row r="19" spans="1:10">
      <c r="A19" s="15">
        <v>9</v>
      </c>
      <c r="B19" s="10" t="s">
        <v>682</v>
      </c>
      <c r="C19" s="43"/>
      <c r="D19" s="43"/>
      <c r="E19" s="43"/>
      <c r="F19" s="43"/>
      <c r="G19" s="43"/>
      <c r="H19" s="43"/>
      <c r="I19" s="43"/>
      <c r="J19" s="43"/>
    </row>
    <row r="20" spans="1:10">
      <c r="A20" s="15">
        <v>10</v>
      </c>
      <c r="B20" s="10" t="s">
        <v>683</v>
      </c>
      <c r="C20" s="43">
        <v>276.18341978489366</v>
      </c>
      <c r="D20" s="43">
        <v>226.84223529851874</v>
      </c>
      <c r="E20" s="43">
        <v>206.20013696453884</v>
      </c>
      <c r="F20" s="43">
        <v>192.50882454916703</v>
      </c>
      <c r="G20" s="43">
        <v>27.503439416447698</v>
      </c>
      <c r="H20" s="43">
        <v>22.684223529851881</v>
      </c>
      <c r="I20" s="43">
        <v>20.620013696453888</v>
      </c>
      <c r="J20" s="43">
        <v>19.250882454916706</v>
      </c>
    </row>
    <row r="21" spans="1:10">
      <c r="A21" s="15">
        <v>11</v>
      </c>
      <c r="B21" s="10" t="s">
        <v>684</v>
      </c>
      <c r="C21" s="43"/>
      <c r="D21" s="43"/>
      <c r="E21" s="43"/>
      <c r="F21" s="43"/>
      <c r="G21" s="43"/>
      <c r="H21" s="43"/>
      <c r="I21" s="43"/>
      <c r="J21" s="43"/>
    </row>
    <row r="22" spans="1:10">
      <c r="A22" s="15">
        <v>12</v>
      </c>
      <c r="B22" s="10" t="s">
        <v>685</v>
      </c>
      <c r="C22" s="43"/>
      <c r="D22" s="43"/>
      <c r="E22" s="43"/>
      <c r="F22" s="43"/>
      <c r="G22" s="43"/>
      <c r="H22" s="43"/>
      <c r="I22" s="43"/>
      <c r="J22" s="43"/>
    </row>
    <row r="23" spans="1:10">
      <c r="A23" s="15">
        <v>13</v>
      </c>
      <c r="B23" s="10" t="s">
        <v>686</v>
      </c>
      <c r="C23" s="43">
        <v>276.18341978489366</v>
      </c>
      <c r="D23" s="43">
        <v>226.84223529851874</v>
      </c>
      <c r="E23" s="43">
        <v>206.20013696453884</v>
      </c>
      <c r="F23" s="43">
        <v>192.50882454916703</v>
      </c>
      <c r="G23" s="43">
        <v>27.503439416447698</v>
      </c>
      <c r="H23" s="43">
        <v>22.684223529851881</v>
      </c>
      <c r="I23" s="43">
        <v>20.620013696453888</v>
      </c>
      <c r="J23" s="43">
        <v>19.250882454916706</v>
      </c>
    </row>
    <row r="24" spans="1:10">
      <c r="A24" s="15">
        <v>14</v>
      </c>
      <c r="B24" s="10" t="s">
        <v>687</v>
      </c>
      <c r="C24" s="43"/>
      <c r="D24" s="43"/>
      <c r="E24" s="43"/>
      <c r="F24" s="43"/>
      <c r="G24" s="43"/>
      <c r="H24" s="43"/>
      <c r="I24" s="43"/>
      <c r="J24" s="43"/>
    </row>
    <row r="25" spans="1:10">
      <c r="A25" s="15">
        <v>15</v>
      </c>
      <c r="B25" s="10" t="s">
        <v>688</v>
      </c>
      <c r="C25" s="43">
        <v>32.321546593333331</v>
      </c>
      <c r="D25" s="43">
        <v>33.486236763333331</v>
      </c>
      <c r="E25" s="43">
        <v>34.155100198333329</v>
      </c>
      <c r="F25" s="43">
        <v>33.614249645000001</v>
      </c>
      <c r="G25" s="43">
        <v>3.1247607910000008</v>
      </c>
      <c r="H25" s="43">
        <v>3.3486236763333328</v>
      </c>
      <c r="I25" s="43">
        <v>3.4155100198333339</v>
      </c>
      <c r="J25" s="43">
        <v>3.3614249644999994</v>
      </c>
    </row>
    <row r="26" spans="1:10">
      <c r="A26" s="15">
        <v>16</v>
      </c>
      <c r="B26" s="10" t="s">
        <v>689</v>
      </c>
      <c r="C26" s="43">
        <v>2076.9660170940551</v>
      </c>
      <c r="D26" s="43">
        <v>1827.514478431015</v>
      </c>
      <c r="E26" s="43">
        <v>1691.035285724535</v>
      </c>
      <c r="F26" s="43">
        <v>1641.6820870341644</v>
      </c>
      <c r="G26" s="43">
        <v>689.0978519835727</v>
      </c>
      <c r="H26" s="43">
        <v>594.16128387435174</v>
      </c>
      <c r="I26" s="43">
        <v>566.71577241212026</v>
      </c>
      <c r="J26" s="43">
        <v>605.93337953199978</v>
      </c>
    </row>
    <row r="27" spans="1:10">
      <c r="C27" s="43"/>
      <c r="D27" s="43"/>
      <c r="E27" s="43"/>
      <c r="F27" s="43"/>
      <c r="G27" s="43"/>
      <c r="H27" s="43"/>
      <c r="I27" s="43"/>
      <c r="J27" s="43"/>
    </row>
    <row r="28" spans="1:10">
      <c r="B28" s="10" t="s">
        <v>690</v>
      </c>
      <c r="C28" s="43"/>
      <c r="D28" s="43"/>
      <c r="E28" s="43"/>
      <c r="F28" s="43"/>
      <c r="G28" s="43"/>
      <c r="H28" s="43"/>
      <c r="I28" s="43"/>
      <c r="J28" s="43"/>
    </row>
    <row r="29" spans="1:10">
      <c r="A29" s="15">
        <v>17</v>
      </c>
      <c r="B29" s="10" t="s">
        <v>691</v>
      </c>
      <c r="C29" s="43"/>
      <c r="D29" s="43"/>
      <c r="E29" s="43"/>
      <c r="F29" s="43"/>
      <c r="G29" s="43"/>
      <c r="H29" s="43"/>
      <c r="I29" s="43"/>
      <c r="J29" s="43"/>
    </row>
    <row r="30" spans="1:10">
      <c r="A30" s="15">
        <v>18</v>
      </c>
      <c r="B30" s="10" t="s">
        <v>692</v>
      </c>
      <c r="C30" s="43">
        <v>25.14288401592913</v>
      </c>
      <c r="D30" s="43">
        <v>20.115818673709626</v>
      </c>
      <c r="E30" s="43">
        <v>17.310969854461792</v>
      </c>
      <c r="F30" s="43">
        <v>14.947300402925906</v>
      </c>
      <c r="G30" s="43">
        <v>12.571442007964565</v>
      </c>
      <c r="H30" s="43">
        <v>10.057909336854813</v>
      </c>
      <c r="I30" s="43">
        <v>8.655484927230896</v>
      </c>
      <c r="J30" s="43">
        <v>7.4736502014629531</v>
      </c>
    </row>
    <row r="31" spans="1:10">
      <c r="A31" s="15">
        <v>19</v>
      </c>
      <c r="B31" s="10" t="s">
        <v>693</v>
      </c>
      <c r="C31" s="43">
        <v>28.260981320544943</v>
      </c>
      <c r="D31" s="43">
        <v>31.56367434398992</v>
      </c>
      <c r="E31" s="43">
        <v>33.197659276925677</v>
      </c>
      <c r="F31" s="43">
        <v>34.356430034640617</v>
      </c>
      <c r="G31" s="43">
        <v>1.4130490660272474</v>
      </c>
      <c r="H31" s="43">
        <v>1.5781837171994959</v>
      </c>
      <c r="I31" s="43">
        <v>1.6598829638462842</v>
      </c>
      <c r="J31" s="43">
        <v>1.7178215017320309</v>
      </c>
    </row>
    <row r="32" spans="1:10" ht="26.4">
      <c r="A32" s="15" t="s">
        <v>694</v>
      </c>
      <c r="B32" s="19" t="s">
        <v>695</v>
      </c>
      <c r="C32" s="43"/>
      <c r="D32" s="43"/>
      <c r="E32" s="43"/>
      <c r="F32" s="43"/>
      <c r="G32" s="43"/>
      <c r="H32" s="43"/>
      <c r="I32" s="43"/>
      <c r="J32" s="43"/>
    </row>
    <row r="33" spans="1:10">
      <c r="A33" s="15" t="s">
        <v>696</v>
      </c>
      <c r="B33" s="10" t="s">
        <v>697</v>
      </c>
      <c r="C33" s="43"/>
      <c r="D33" s="43"/>
      <c r="E33" s="43"/>
      <c r="F33" s="43"/>
      <c r="G33" s="43"/>
      <c r="H33" s="43"/>
      <c r="I33" s="43"/>
      <c r="J33" s="43"/>
    </row>
    <row r="34" spans="1:10">
      <c r="A34" s="15">
        <v>20</v>
      </c>
      <c r="B34" s="10" t="s">
        <v>698</v>
      </c>
      <c r="C34" s="43">
        <v>53.40386533647407</v>
      </c>
      <c r="D34" s="43">
        <v>51.679493017699549</v>
      </c>
      <c r="E34" s="43">
        <v>50.508629131387472</v>
      </c>
      <c r="F34" s="43">
        <v>49.303730437566529</v>
      </c>
      <c r="G34" s="43">
        <v>13.984491073991812</v>
      </c>
      <c r="H34" s="43">
        <v>11.636093054054312</v>
      </c>
      <c r="I34" s="43">
        <v>10.315367891077182</v>
      </c>
      <c r="J34" s="43">
        <v>9.1914717031949866</v>
      </c>
    </row>
    <row r="35" spans="1:10">
      <c r="A35" s="15" t="s">
        <v>699</v>
      </c>
      <c r="B35" s="10" t="s">
        <v>700</v>
      </c>
      <c r="C35" s="43"/>
      <c r="D35" s="43"/>
      <c r="E35" s="43"/>
      <c r="F35" s="43"/>
      <c r="G35" s="43"/>
      <c r="H35" s="43"/>
      <c r="I35" s="43"/>
      <c r="J35" s="43"/>
    </row>
    <row r="36" spans="1:10">
      <c r="A36" s="15" t="s">
        <v>701</v>
      </c>
      <c r="B36" s="10" t="s">
        <v>702</v>
      </c>
      <c r="C36" s="43"/>
      <c r="D36" s="43"/>
      <c r="E36" s="43"/>
      <c r="F36" s="43"/>
      <c r="G36" s="43"/>
      <c r="H36" s="43"/>
      <c r="I36" s="43"/>
      <c r="J36" s="43"/>
    </row>
    <row r="37" spans="1:10">
      <c r="A37" s="15" t="s">
        <v>703</v>
      </c>
      <c r="B37" s="10" t="s">
        <v>704</v>
      </c>
      <c r="C37" s="43">
        <v>53.40386533647407</v>
      </c>
      <c r="D37" s="43">
        <v>51.679493017699549</v>
      </c>
      <c r="E37" s="43">
        <v>50.508629131387472</v>
      </c>
      <c r="F37" s="43">
        <v>49.303730437566529</v>
      </c>
      <c r="G37" s="43">
        <v>13.984491073991812</v>
      </c>
      <c r="H37" s="43">
        <v>11.636093054054312</v>
      </c>
      <c r="I37" s="43">
        <v>10.315367891077182</v>
      </c>
      <c r="J37" s="43">
        <v>9.1914717031949866</v>
      </c>
    </row>
    <row r="38" spans="1:10">
      <c r="C38" s="43"/>
      <c r="D38" s="43"/>
      <c r="E38" s="43"/>
      <c r="F38" s="43"/>
      <c r="G38" s="43"/>
      <c r="H38" s="43"/>
      <c r="I38" s="43"/>
      <c r="J38" s="43"/>
    </row>
    <row r="39" spans="1:10">
      <c r="A39" s="15">
        <v>21</v>
      </c>
      <c r="B39" s="10" t="s">
        <v>705</v>
      </c>
      <c r="C39" s="43"/>
      <c r="D39" s="43"/>
      <c r="E39" s="43"/>
      <c r="F39" s="43"/>
      <c r="G39" s="43">
        <v>1153.179425627465</v>
      </c>
      <c r="H39" s="43">
        <v>995.42256087846579</v>
      </c>
      <c r="I39" s="43">
        <v>850.4070201418906</v>
      </c>
      <c r="J39" s="43">
        <v>817.45111682742129</v>
      </c>
    </row>
    <row r="40" spans="1:10">
      <c r="A40" s="15">
        <v>22</v>
      </c>
      <c r="B40" s="10" t="s">
        <v>706</v>
      </c>
      <c r="C40" s="43"/>
      <c r="D40" s="43"/>
      <c r="E40" s="43"/>
      <c r="F40" s="43"/>
      <c r="G40" s="43">
        <v>675.11336090958082</v>
      </c>
      <c r="H40" s="43">
        <v>582.52519082029733</v>
      </c>
      <c r="I40" s="43">
        <v>556.4004045210429</v>
      </c>
      <c r="J40" s="43">
        <v>596.74190782880487</v>
      </c>
    </row>
    <row r="41" spans="1:10">
      <c r="A41" s="15">
        <v>23</v>
      </c>
      <c r="B41" s="10" t="s">
        <v>707</v>
      </c>
      <c r="G41" s="60">
        <v>1.7081270974607663</v>
      </c>
      <c r="H41" s="60">
        <v>1.7088060337386213</v>
      </c>
      <c r="I41" s="60">
        <v>1.5284083426825195</v>
      </c>
      <c r="J41" s="60">
        <v>1.369857062329757</v>
      </c>
    </row>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workbookViewId="0">
      <selection activeCell="N9" sqref="N9"/>
    </sheetView>
  </sheetViews>
  <sheetFormatPr defaultColWidth="13" defaultRowHeight="13.2"/>
  <cols>
    <col min="1" max="1" width="1.6640625" style="270" customWidth="1"/>
    <col min="2" max="2" width="60.44140625" style="285" customWidth="1"/>
    <col min="3" max="4" width="13.6640625" style="270" customWidth="1"/>
    <col min="5" max="5" width="14.88671875" style="270" customWidth="1"/>
    <col min="6" max="6" width="13.6640625" style="270" customWidth="1"/>
    <col min="7" max="7" width="10.6640625" style="270" customWidth="1"/>
    <col min="8" max="9" width="13.6640625" style="270" customWidth="1"/>
    <col min="10" max="10" width="14.88671875" style="270" customWidth="1"/>
    <col min="11" max="11" width="13.6640625" style="270" customWidth="1"/>
    <col min="12" max="12" width="10.6640625" style="270" customWidth="1"/>
    <col min="13" max="16384" width="13" style="270"/>
  </cols>
  <sheetData>
    <row r="1" spans="1:12" s="238" customFormat="1" ht="18" customHeight="1">
      <c r="A1" s="96" t="s">
        <v>1325</v>
      </c>
      <c r="C1" s="239"/>
      <c r="D1" s="239"/>
      <c r="E1" s="239"/>
      <c r="H1" s="239"/>
      <c r="I1" s="239"/>
      <c r="J1" s="239"/>
    </row>
    <row r="4" spans="1:12" s="242" customFormat="1" ht="14.25" customHeight="1">
      <c r="A4" s="240"/>
      <c r="B4" s="241"/>
      <c r="C4" s="323" t="s">
        <v>1452</v>
      </c>
      <c r="D4" s="323"/>
      <c r="E4" s="323"/>
      <c r="F4" s="323"/>
      <c r="G4" s="323"/>
      <c r="H4" s="323" t="s">
        <v>1326</v>
      </c>
      <c r="I4" s="323"/>
      <c r="J4" s="323"/>
      <c r="K4" s="323"/>
      <c r="L4" s="323"/>
    </row>
    <row r="5" spans="1:12" s="242" customFormat="1">
      <c r="A5" s="240"/>
      <c r="B5" s="243"/>
      <c r="C5" s="324" t="s">
        <v>1327</v>
      </c>
      <c r="D5" s="324"/>
      <c r="E5" s="324"/>
      <c r="F5" s="324"/>
      <c r="G5" s="244"/>
      <c r="H5" s="325" t="s">
        <v>1327</v>
      </c>
      <c r="I5" s="324"/>
      <c r="J5" s="324"/>
      <c r="K5" s="326"/>
      <c r="L5" s="245"/>
    </row>
    <row r="6" spans="1:12" s="242" customFormat="1" ht="26.4">
      <c r="A6" s="246"/>
      <c r="B6" s="247" t="s">
        <v>123</v>
      </c>
      <c r="C6" s="248" t="s">
        <v>1328</v>
      </c>
      <c r="D6" s="248" t="s">
        <v>1329</v>
      </c>
      <c r="E6" s="248" t="s">
        <v>1330</v>
      </c>
      <c r="F6" s="248" t="s">
        <v>1331</v>
      </c>
      <c r="G6" s="249" t="s">
        <v>724</v>
      </c>
      <c r="H6" s="249" t="s">
        <v>1328</v>
      </c>
      <c r="I6" s="248" t="s">
        <v>1329</v>
      </c>
      <c r="J6" s="248" t="s">
        <v>1330</v>
      </c>
      <c r="K6" s="250" t="s">
        <v>1331</v>
      </c>
      <c r="L6" s="249" t="s">
        <v>724</v>
      </c>
    </row>
    <row r="7" spans="1:12" s="242" customFormat="1">
      <c r="A7" s="251"/>
      <c r="B7" s="252" t="s">
        <v>1332</v>
      </c>
      <c r="C7" s="253"/>
      <c r="D7" s="253"/>
      <c r="E7" s="253"/>
      <c r="F7" s="253"/>
      <c r="G7" s="254"/>
      <c r="H7" s="254"/>
      <c r="I7" s="253"/>
      <c r="J7" s="253"/>
      <c r="K7" s="255"/>
      <c r="L7" s="254"/>
    </row>
    <row r="8" spans="1:12" s="242" customFormat="1">
      <c r="A8" s="251"/>
      <c r="B8" s="247" t="s">
        <v>1333</v>
      </c>
      <c r="C8" s="256">
        <v>186.77977678393995</v>
      </c>
      <c r="D8" s="256">
        <v>0</v>
      </c>
      <c r="E8" s="256">
        <v>0</v>
      </c>
      <c r="F8" s="256">
        <v>55</v>
      </c>
      <c r="G8" s="257">
        <v>241.77977678393995</v>
      </c>
      <c r="H8" s="257">
        <v>120.7183497098564</v>
      </c>
      <c r="I8" s="256"/>
      <c r="J8" s="256">
        <v>0</v>
      </c>
      <c r="K8" s="256">
        <v>50.9</v>
      </c>
      <c r="L8" s="257">
        <v>171.6183497098564</v>
      </c>
    </row>
    <row r="9" spans="1:12" s="242" customFormat="1">
      <c r="A9" s="251"/>
      <c r="B9" s="258" t="s">
        <v>1334</v>
      </c>
      <c r="C9" s="259">
        <v>186.77977678393995</v>
      </c>
      <c r="D9" s="259"/>
      <c r="E9" s="259"/>
      <c r="F9" s="259">
        <v>55</v>
      </c>
      <c r="G9" s="260">
        <v>241.77977678393995</v>
      </c>
      <c r="H9" s="260">
        <v>120.7183497098564</v>
      </c>
      <c r="I9" s="259"/>
      <c r="J9" s="259"/>
      <c r="K9" s="261">
        <v>50.9</v>
      </c>
      <c r="L9" s="257">
        <v>171.6183497098564</v>
      </c>
    </row>
    <row r="10" spans="1:12" s="242" customFormat="1">
      <c r="A10" s="251"/>
      <c r="B10" s="258" t="s">
        <v>1335</v>
      </c>
      <c r="C10" s="259"/>
      <c r="D10" s="259"/>
      <c r="E10" s="259"/>
      <c r="G10" s="260"/>
      <c r="H10" s="260"/>
      <c r="I10" s="259"/>
      <c r="J10" s="259"/>
      <c r="K10" s="262"/>
      <c r="L10" s="260"/>
    </row>
    <row r="11" spans="1:12" s="242" customFormat="1">
      <c r="A11" s="251"/>
      <c r="B11" s="247" t="s">
        <v>1336</v>
      </c>
      <c r="C11" s="256">
        <v>0</v>
      </c>
      <c r="D11" s="256">
        <v>1375.6350134399845</v>
      </c>
      <c r="E11" s="256">
        <v>160.92829856999992</v>
      </c>
      <c r="F11" s="256">
        <v>1.1779839799999996</v>
      </c>
      <c r="G11" s="257">
        <v>1418.6265673279854</v>
      </c>
      <c r="H11" s="257"/>
      <c r="I11" s="256">
        <v>802.2054551699996</v>
      </c>
      <c r="J11" s="256">
        <v>39.242978289999996</v>
      </c>
      <c r="K11" s="256">
        <v>0.81416001000000016</v>
      </c>
      <c r="L11" s="257">
        <v>965.06903644777731</v>
      </c>
    </row>
    <row r="12" spans="1:12" s="242" customFormat="1">
      <c r="A12" s="251"/>
      <c r="B12" s="263" t="s">
        <v>1337</v>
      </c>
      <c r="C12" s="259"/>
      <c r="D12" s="259">
        <v>675.232076569985</v>
      </c>
      <c r="E12" s="259">
        <v>15.59997420999999</v>
      </c>
      <c r="F12" s="259">
        <v>0.91329295999999971</v>
      </c>
      <c r="G12" s="260">
        <v>657.20374120098575</v>
      </c>
      <c r="H12" s="260"/>
      <c r="I12" s="259">
        <v>531.58347273999959</v>
      </c>
      <c r="J12" s="259">
        <v>19.004420379999992</v>
      </c>
      <c r="K12" s="261">
        <v>0.36709468000000006</v>
      </c>
      <c r="L12" s="260">
        <v>523.42559314399955</v>
      </c>
    </row>
    <row r="13" spans="1:12" s="242" customFormat="1">
      <c r="A13" s="251"/>
      <c r="B13" s="258" t="s">
        <v>1338</v>
      </c>
      <c r="C13" s="259"/>
      <c r="D13" s="259">
        <v>700.40293686999951</v>
      </c>
      <c r="E13" s="259">
        <v>145.32832435999993</v>
      </c>
      <c r="F13" s="259">
        <v>0.26469102</v>
      </c>
      <c r="G13" s="260">
        <v>761.42282612699955</v>
      </c>
      <c r="H13" s="260"/>
      <c r="I13" s="259">
        <v>270.62198242999995</v>
      </c>
      <c r="J13" s="259">
        <v>20.238557910000001</v>
      </c>
      <c r="K13" s="261">
        <v>0.44706533000000004</v>
      </c>
      <c r="L13" s="260">
        <v>262.22155163599996</v>
      </c>
    </row>
    <row r="14" spans="1:12" s="242" customFormat="1">
      <c r="A14" s="251"/>
      <c r="B14" s="264" t="s">
        <v>1453</v>
      </c>
      <c r="C14" s="259"/>
      <c r="D14" s="259">
        <v>1147.1563198600002</v>
      </c>
      <c r="E14" s="259">
        <v>12.734446519999999</v>
      </c>
      <c r="F14" s="259">
        <v>0.38904083</v>
      </c>
      <c r="G14" s="260">
        <v>292.11054337999991</v>
      </c>
      <c r="H14" s="260"/>
      <c r="I14" s="259">
        <v>560.34309286000007</v>
      </c>
      <c r="J14" s="259">
        <v>27.05363586</v>
      </c>
      <c r="K14" s="261">
        <v>2.1149710000000002</v>
      </c>
      <c r="L14" s="260">
        <v>148.75359102000002</v>
      </c>
    </row>
    <row r="15" spans="1:12" s="242" customFormat="1">
      <c r="A15" s="251"/>
      <c r="B15" s="265" t="s">
        <v>1339</v>
      </c>
      <c r="C15" s="259"/>
      <c r="D15" s="259"/>
      <c r="E15" s="259"/>
      <c r="F15" s="259"/>
      <c r="G15" s="260"/>
      <c r="H15" s="260"/>
      <c r="I15" s="259"/>
      <c r="J15" s="259"/>
      <c r="K15" s="261"/>
      <c r="L15" s="260"/>
    </row>
    <row r="16" spans="1:12" s="242" customFormat="1">
      <c r="A16" s="251"/>
      <c r="B16" s="265" t="s">
        <v>1340</v>
      </c>
      <c r="C16" s="259"/>
      <c r="D16" s="259">
        <v>2.9428104622222211</v>
      </c>
      <c r="E16" s="259">
        <v>2.9428104622222211</v>
      </c>
      <c r="F16" s="259">
        <v>19.758169991111114</v>
      </c>
      <c r="G16" s="260">
        <v>22.700980453333337</v>
      </c>
      <c r="H16" s="260"/>
      <c r="I16" s="259">
        <v>1.8316993500000001</v>
      </c>
      <c r="J16" s="259">
        <v>1.8316993500000001</v>
      </c>
      <c r="K16" s="261">
        <v>28.836601297777779</v>
      </c>
      <c r="L16" s="260">
        <v>30.66830064777778</v>
      </c>
    </row>
    <row r="17" spans="1:12" s="242" customFormat="1">
      <c r="A17" s="251"/>
      <c r="B17" s="247" t="s">
        <v>1341</v>
      </c>
      <c r="C17" s="259"/>
      <c r="D17" s="259"/>
      <c r="E17" s="259"/>
      <c r="F17" s="259"/>
      <c r="G17" s="260"/>
      <c r="H17" s="260"/>
      <c r="I17" s="259"/>
      <c r="J17" s="259"/>
      <c r="K17" s="261"/>
      <c r="L17" s="260"/>
    </row>
    <row r="18" spans="1:12" s="242" customFormat="1">
      <c r="A18" s="251"/>
      <c r="B18" s="247" t="s">
        <v>1342</v>
      </c>
      <c r="C18" s="259"/>
      <c r="D18" s="259"/>
      <c r="E18" s="259"/>
      <c r="F18" s="259"/>
      <c r="G18" s="260"/>
      <c r="H18" s="260"/>
      <c r="I18" s="259"/>
      <c r="J18" s="259"/>
      <c r="K18" s="261"/>
      <c r="L18" s="260"/>
    </row>
    <row r="19" spans="1:12" s="242" customFormat="1">
      <c r="A19" s="251"/>
      <c r="B19" s="258" t="s">
        <v>1343</v>
      </c>
      <c r="C19" s="259"/>
      <c r="D19" s="259"/>
      <c r="E19" s="259"/>
      <c r="F19" s="259"/>
      <c r="G19" s="260"/>
      <c r="H19" s="260"/>
      <c r="I19" s="259"/>
      <c r="J19" s="259"/>
      <c r="K19" s="261"/>
      <c r="L19" s="260"/>
    </row>
    <row r="20" spans="1:12" s="242" customFormat="1">
      <c r="A20" s="251"/>
      <c r="B20" s="258" t="s">
        <v>1344</v>
      </c>
      <c r="C20" s="259"/>
      <c r="D20" s="259">
        <v>66.467149920519347</v>
      </c>
      <c r="E20" s="259"/>
      <c r="F20" s="259"/>
      <c r="G20" s="260">
        <v>0</v>
      </c>
      <c r="H20" s="260"/>
      <c r="I20" s="259">
        <v>52.177928342366606</v>
      </c>
      <c r="J20" s="259"/>
      <c r="K20" s="261"/>
      <c r="L20" s="260">
        <v>0</v>
      </c>
    </row>
    <row r="21" spans="1:12" s="269" customFormat="1">
      <c r="A21" s="266"/>
      <c r="B21" s="267" t="s">
        <v>1345</v>
      </c>
      <c r="C21" s="256"/>
      <c r="D21" s="256"/>
      <c r="E21" s="256"/>
      <c r="F21" s="256"/>
      <c r="G21" s="257">
        <v>1975.2178679452584</v>
      </c>
      <c r="H21" s="257"/>
      <c r="I21" s="256"/>
      <c r="J21" s="256"/>
      <c r="K21" s="268"/>
      <c r="L21" s="257">
        <v>1136.6873861576337</v>
      </c>
    </row>
    <row r="22" spans="1:12" s="242" customFormat="1">
      <c r="A22" s="251"/>
      <c r="B22" s="252" t="s">
        <v>1346</v>
      </c>
      <c r="C22" s="253"/>
      <c r="D22" s="253"/>
      <c r="E22" s="253"/>
      <c r="F22" s="253"/>
      <c r="G22" s="254"/>
      <c r="H22" s="254"/>
      <c r="I22" s="253"/>
      <c r="J22" s="253"/>
      <c r="K22" s="255"/>
      <c r="L22" s="254"/>
    </row>
    <row r="23" spans="1:12">
      <c r="B23" s="247" t="s">
        <v>1347</v>
      </c>
      <c r="C23" s="259"/>
      <c r="D23" s="259">
        <v>1273.2397314699999</v>
      </c>
      <c r="E23" s="259">
        <v>0.90328311000000006</v>
      </c>
      <c r="F23" s="259">
        <v>8.4292974000000012</v>
      </c>
      <c r="G23" s="260">
        <v>1.6165297440000004</v>
      </c>
      <c r="H23" s="260"/>
      <c r="I23" s="259">
        <v>665.19583392999994</v>
      </c>
      <c r="J23" s="259">
        <v>0</v>
      </c>
      <c r="K23" s="261">
        <v>18.006229310000002</v>
      </c>
      <c r="L23" s="260">
        <v>3.6843273605000002</v>
      </c>
    </row>
    <row r="24" spans="1:12">
      <c r="B24" s="247" t="s">
        <v>1348</v>
      </c>
      <c r="C24" s="259"/>
      <c r="D24" s="259">
        <v>20.20121962</v>
      </c>
      <c r="F24" s="259"/>
      <c r="G24" s="260">
        <v>10.10060981</v>
      </c>
      <c r="H24" s="260"/>
      <c r="I24" s="259">
        <v>36.313128658968523</v>
      </c>
      <c r="J24" s="271"/>
      <c r="K24" s="261"/>
      <c r="L24" s="260">
        <v>18.156564329484262</v>
      </c>
    </row>
    <row r="25" spans="1:12">
      <c r="B25" s="247" t="s">
        <v>1349</v>
      </c>
      <c r="C25" s="259"/>
      <c r="D25" s="256">
        <v>179.7777122200585</v>
      </c>
      <c r="E25" s="256">
        <v>122.6458028100003</v>
      </c>
      <c r="F25" s="256">
        <v>1385.7245944699946</v>
      </c>
      <c r="G25" s="257">
        <v>1219.4341348470243</v>
      </c>
      <c r="H25" s="260"/>
      <c r="I25" s="256">
        <v>107.8293809600009</v>
      </c>
      <c r="J25" s="256">
        <v>111.43228997000043</v>
      </c>
      <c r="K25" s="256">
        <v>692.99281354999914</v>
      </c>
      <c r="L25" s="257">
        <v>672.89942513060623</v>
      </c>
    </row>
    <row r="26" spans="1:12">
      <c r="B26" s="258" t="s">
        <v>1350</v>
      </c>
      <c r="C26" s="259"/>
      <c r="D26" s="259"/>
      <c r="E26" s="259"/>
      <c r="F26" s="259"/>
      <c r="G26" s="260"/>
      <c r="H26" s="260"/>
      <c r="I26" s="259"/>
      <c r="J26" s="259"/>
      <c r="K26" s="261"/>
      <c r="L26" s="260"/>
    </row>
    <row r="27" spans="1:12" ht="26.4">
      <c r="B27" s="263" t="s">
        <v>1351</v>
      </c>
      <c r="C27" s="259"/>
      <c r="D27" s="259">
        <v>12.67834789</v>
      </c>
      <c r="E27" s="259">
        <v>14.138206860000002</v>
      </c>
      <c r="F27" s="259">
        <v>91.942575960000056</v>
      </c>
      <c r="G27" s="260">
        <v>100.91343157350005</v>
      </c>
      <c r="H27" s="260"/>
      <c r="I27" s="259">
        <v>19.307522460000005</v>
      </c>
      <c r="J27" s="259">
        <v>21.514657670000002</v>
      </c>
      <c r="K27" s="261">
        <v>57.102282710000004</v>
      </c>
      <c r="L27" s="260">
        <v>70.755739914000003</v>
      </c>
    </row>
    <row r="28" spans="1:12" ht="39.6">
      <c r="B28" s="263" t="s">
        <v>1352</v>
      </c>
      <c r="C28" s="259"/>
      <c r="D28" s="259">
        <v>147.45122369005847</v>
      </c>
      <c r="E28" s="259">
        <v>91.679017010000337</v>
      </c>
      <c r="F28" s="259">
        <v>698.7945555099916</v>
      </c>
      <c r="G28" s="260">
        <v>713.54049253352241</v>
      </c>
      <c r="H28" s="260"/>
      <c r="I28" s="259">
        <v>85.89183472612882</v>
      </c>
      <c r="J28" s="259">
        <v>87.284959252228745</v>
      </c>
      <c r="K28" s="261">
        <v>505.1041829539007</v>
      </c>
      <c r="L28" s="260">
        <v>514.50121067982036</v>
      </c>
    </row>
    <row r="29" spans="1:12" ht="26.4">
      <c r="B29" s="263" t="s">
        <v>1353</v>
      </c>
      <c r="C29" s="259"/>
      <c r="D29" s="259"/>
      <c r="E29" s="259"/>
      <c r="F29" s="259"/>
      <c r="G29" s="260"/>
      <c r="H29" s="260"/>
      <c r="I29" s="259"/>
      <c r="J29" s="259"/>
      <c r="K29" s="261"/>
      <c r="L29" s="260"/>
    </row>
    <row r="30" spans="1:12">
      <c r="B30" s="258" t="s">
        <v>1454</v>
      </c>
      <c r="C30" s="259"/>
      <c r="D30" s="259"/>
      <c r="E30" s="259"/>
      <c r="F30" s="259"/>
      <c r="G30" s="260"/>
      <c r="H30" s="260"/>
      <c r="I30" s="259"/>
      <c r="J30" s="259"/>
      <c r="K30" s="261"/>
      <c r="L30" s="260"/>
    </row>
    <row r="31" spans="1:12" ht="26.4">
      <c r="B31" s="272" t="s">
        <v>1353</v>
      </c>
      <c r="C31" s="259"/>
      <c r="D31" s="259">
        <v>19.648140640000037</v>
      </c>
      <c r="E31" s="259">
        <v>16.828578939999979</v>
      </c>
      <c r="F31" s="259">
        <v>594.98746300000289</v>
      </c>
      <c r="G31" s="260">
        <v>404.98021074000189</v>
      </c>
      <c r="H31" s="260"/>
      <c r="I31" s="259">
        <v>2.6300237738720806</v>
      </c>
      <c r="J31" s="259">
        <v>2.6326730477716747</v>
      </c>
      <c r="K31" s="261">
        <v>130.78634788609841</v>
      </c>
      <c r="L31" s="260">
        <v>87.642474536785841</v>
      </c>
    </row>
    <row r="32" spans="1:12" ht="26.4">
      <c r="B32" s="263" t="s">
        <v>1354</v>
      </c>
      <c r="C32" s="259"/>
      <c r="D32" s="259"/>
      <c r="E32" s="259"/>
      <c r="F32" s="259"/>
      <c r="G32" s="260"/>
      <c r="H32" s="260"/>
      <c r="I32" s="259"/>
      <c r="J32" s="259"/>
      <c r="K32" s="261"/>
      <c r="L32" s="260"/>
    </row>
    <row r="33" spans="1:12">
      <c r="B33" s="247" t="s">
        <v>1355</v>
      </c>
      <c r="C33" s="256"/>
      <c r="D33" s="256"/>
      <c r="E33" s="256"/>
      <c r="F33" s="256"/>
      <c r="G33" s="257"/>
      <c r="H33" s="257"/>
      <c r="I33" s="256"/>
      <c r="J33" s="256"/>
      <c r="K33" s="268"/>
      <c r="L33" s="257"/>
    </row>
    <row r="34" spans="1:12">
      <c r="B34" s="247" t="s">
        <v>1356</v>
      </c>
      <c r="C34" s="259"/>
      <c r="D34" s="259"/>
      <c r="E34" s="259"/>
      <c r="F34" s="259"/>
      <c r="G34" s="260"/>
      <c r="H34" s="260"/>
      <c r="I34" s="259"/>
      <c r="J34" s="259"/>
      <c r="K34" s="261"/>
      <c r="L34" s="260"/>
    </row>
    <row r="35" spans="1:12" s="242" customFormat="1">
      <c r="A35" s="251"/>
      <c r="B35" s="258" t="s">
        <v>1357</v>
      </c>
      <c r="C35" s="259"/>
      <c r="D35" s="259"/>
      <c r="E35" s="259"/>
      <c r="F35" s="259"/>
      <c r="G35" s="260"/>
      <c r="H35" s="260"/>
      <c r="I35" s="259"/>
      <c r="J35" s="259"/>
      <c r="K35" s="261"/>
      <c r="L35" s="260"/>
    </row>
    <row r="36" spans="1:12" ht="26.4">
      <c r="B36" s="263" t="s">
        <v>1358</v>
      </c>
      <c r="G36" s="273"/>
      <c r="H36" s="273"/>
      <c r="I36" s="271"/>
      <c r="J36" s="271"/>
      <c r="K36" s="274"/>
      <c r="L36" s="273"/>
    </row>
    <row r="37" spans="1:12">
      <c r="B37" s="258" t="s">
        <v>1359</v>
      </c>
      <c r="G37" s="273"/>
      <c r="H37" s="273"/>
      <c r="I37" s="271"/>
      <c r="J37" s="271"/>
      <c r="K37" s="274"/>
      <c r="L37" s="273"/>
    </row>
    <row r="38" spans="1:12">
      <c r="B38" s="258" t="s">
        <v>1360</v>
      </c>
      <c r="G38" s="273"/>
      <c r="H38" s="273"/>
      <c r="I38" s="271"/>
      <c r="J38" s="271"/>
      <c r="K38" s="274"/>
      <c r="L38" s="273"/>
    </row>
    <row r="39" spans="1:12">
      <c r="B39" s="258" t="s">
        <v>1361</v>
      </c>
      <c r="D39" s="259"/>
      <c r="E39" s="259"/>
      <c r="F39" s="259">
        <v>40.990179719946383</v>
      </c>
      <c r="G39" s="275">
        <v>40.990179719946383</v>
      </c>
      <c r="H39" s="273"/>
      <c r="I39" s="259"/>
      <c r="J39" s="259"/>
      <c r="K39" s="259">
        <v>45.303617720370056</v>
      </c>
      <c r="L39" s="275">
        <v>45.303617720370056</v>
      </c>
    </row>
    <row r="40" spans="1:12">
      <c r="B40" s="258" t="s">
        <v>1455</v>
      </c>
      <c r="D40" s="259">
        <v>419.89637694995378</v>
      </c>
      <c r="E40" s="259"/>
      <c r="F40" s="259"/>
      <c r="G40" s="275">
        <v>19.730467427497693</v>
      </c>
      <c r="H40" s="273"/>
      <c r="I40" s="276">
        <v>187.34391228999996</v>
      </c>
      <c r="J40" s="271"/>
      <c r="K40" s="274"/>
      <c r="L40" s="275">
        <v>7.4835055749999997</v>
      </c>
    </row>
    <row r="41" spans="1:12" s="242" customFormat="1">
      <c r="A41" s="251"/>
      <c r="B41" s="267" t="s">
        <v>1362</v>
      </c>
      <c r="C41" s="270"/>
      <c r="D41" s="270"/>
      <c r="E41" s="270"/>
      <c r="F41" s="277"/>
      <c r="G41" s="275">
        <v>1291.8719215484682</v>
      </c>
      <c r="H41" s="273"/>
      <c r="I41" s="271"/>
      <c r="J41" s="271"/>
      <c r="K41" s="278"/>
      <c r="L41" s="275">
        <v>747.52744011596053</v>
      </c>
    </row>
    <row r="42" spans="1:12">
      <c r="B42" s="279" t="s">
        <v>1363</v>
      </c>
      <c r="C42" s="280"/>
      <c r="D42" s="280"/>
      <c r="E42" s="280"/>
      <c r="F42" s="280"/>
      <c r="G42" s="281">
        <v>1.5289579678902809</v>
      </c>
      <c r="H42" s="282"/>
      <c r="I42" s="283"/>
      <c r="J42" s="283"/>
      <c r="K42" s="284"/>
      <c r="L42" s="281">
        <f>L21/L41</f>
        <v>1.5205962017679304</v>
      </c>
    </row>
  </sheetData>
  <sheetProtection formatCells="0" formatColumns="0" formatRows="0" insertColumns="0" insertRows="0" insertHyperlinks="0" deleteColumns="0" deleteRows="0" sort="0" autoFilter="0" pivotTables="0"/>
  <mergeCells count="4">
    <mergeCell ref="C4:G4"/>
    <mergeCell ref="H4:L4"/>
    <mergeCell ref="C5:F5"/>
    <mergeCell ref="H5:K5"/>
  </mergeCells>
  <pageMargins left="0.23622047244094491" right="0.23622047244094491" top="0.74803149606299213" bottom="0.74803149606299213" header="0.31496062992125984" footer="0.31496062992125984"/>
  <pageSetup paperSize="9" scale="92"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A3" sqref="A3"/>
    </sheetView>
  </sheetViews>
  <sheetFormatPr defaultColWidth="73.21875" defaultRowHeight="13.2"/>
  <cols>
    <col min="1" max="1" width="46.6640625" style="10" bestFit="1" customWidth="1"/>
    <col min="2" max="2" width="34.109375" style="10" bestFit="1" customWidth="1"/>
    <col min="3" max="3" width="36.33203125" style="10" bestFit="1" customWidth="1"/>
    <col min="4" max="4" width="34.109375" style="10" bestFit="1" customWidth="1"/>
    <col min="5" max="5" width="36.33203125" style="10" bestFit="1" customWidth="1"/>
    <col min="6" max="16384" width="73.21875" style="10"/>
  </cols>
  <sheetData>
    <row r="1" spans="1:5">
      <c r="A1" s="11" t="s">
        <v>721</v>
      </c>
    </row>
    <row r="5" spans="1:5">
      <c r="A5" s="12" t="s">
        <v>123</v>
      </c>
      <c r="B5" s="306">
        <v>2019</v>
      </c>
      <c r="C5" s="306"/>
      <c r="D5" s="306">
        <v>2018</v>
      </c>
      <c r="E5" s="306"/>
    </row>
    <row r="6" spans="1:5">
      <c r="B6" s="19" t="s">
        <v>709</v>
      </c>
      <c r="C6" s="19" t="s">
        <v>710</v>
      </c>
      <c r="D6" s="19" t="s">
        <v>709</v>
      </c>
      <c r="E6" s="19" t="s">
        <v>710</v>
      </c>
    </row>
    <row r="7" spans="1:5" s="12" customFormat="1">
      <c r="C7" s="22"/>
      <c r="E7" s="22"/>
    </row>
    <row r="8" spans="1:5">
      <c r="A8" s="10" t="s">
        <v>711</v>
      </c>
      <c r="B8" s="43"/>
      <c r="C8" s="215">
        <v>3033.3222765999994</v>
      </c>
      <c r="D8" s="215"/>
      <c r="E8" s="215">
        <v>1677.09039904</v>
      </c>
    </row>
    <row r="9" spans="1:5">
      <c r="A9" s="10" t="s">
        <v>719</v>
      </c>
      <c r="B9" s="43"/>
      <c r="C9" s="215">
        <v>1230.58268744</v>
      </c>
      <c r="D9" s="215"/>
      <c r="E9" s="215">
        <v>676.98720860000003</v>
      </c>
    </row>
    <row r="10" spans="1:5">
      <c r="A10" s="10" t="s">
        <v>712</v>
      </c>
      <c r="B10" s="43"/>
      <c r="C10" s="215">
        <v>0.16792000000000001</v>
      </c>
      <c r="D10" s="215"/>
      <c r="E10" s="215">
        <v>0.216444</v>
      </c>
    </row>
    <row r="11" spans="1:5">
      <c r="A11" s="10" t="s">
        <v>444</v>
      </c>
      <c r="B11" s="43"/>
      <c r="C11" s="215">
        <v>32.762530720000001</v>
      </c>
      <c r="D11" s="215"/>
      <c r="E11" s="215">
        <v>38.994228999999997</v>
      </c>
    </row>
    <row r="12" spans="1:5">
      <c r="A12" s="10" t="s">
        <v>713</v>
      </c>
      <c r="B12" s="43"/>
      <c r="C12" s="215" t="s">
        <v>154</v>
      </c>
      <c r="D12" s="215"/>
      <c r="E12" s="215" t="s">
        <v>154</v>
      </c>
    </row>
    <row r="13" spans="1:5">
      <c r="A13" s="10" t="s">
        <v>714</v>
      </c>
      <c r="B13" s="43"/>
      <c r="C13" s="215" t="s">
        <v>154</v>
      </c>
      <c r="D13" s="215"/>
      <c r="E13" s="215" t="s">
        <v>154</v>
      </c>
    </row>
    <row r="14" spans="1:5">
      <c r="A14" s="10" t="s">
        <v>715</v>
      </c>
      <c r="B14" s="43"/>
      <c r="C14" s="215" t="s">
        <v>154</v>
      </c>
      <c r="D14" s="215"/>
      <c r="E14" s="215" t="s">
        <v>154</v>
      </c>
    </row>
    <row r="15" spans="1:5">
      <c r="A15" s="10" t="s">
        <v>716</v>
      </c>
      <c r="B15" s="43"/>
      <c r="C15" s="215" t="s">
        <v>154</v>
      </c>
      <c r="D15" s="215"/>
      <c r="E15" s="215" t="s">
        <v>154</v>
      </c>
    </row>
    <row r="16" spans="1:5">
      <c r="A16" s="10" t="s">
        <v>717</v>
      </c>
      <c r="B16" s="43"/>
      <c r="C16" s="215" t="s">
        <v>154</v>
      </c>
      <c r="D16" s="215"/>
      <c r="E16" s="215" t="s">
        <v>154</v>
      </c>
    </row>
    <row r="17" spans="1:5">
      <c r="A17" s="10" t="s">
        <v>720</v>
      </c>
      <c r="B17" s="43"/>
      <c r="C17" s="215">
        <v>1688.6031254700001</v>
      </c>
      <c r="D17" s="215"/>
      <c r="E17" s="215">
        <v>918.68724294000003</v>
      </c>
    </row>
    <row r="18" spans="1:5">
      <c r="A18" s="10" t="s">
        <v>1512</v>
      </c>
      <c r="C18" s="215">
        <v>809.72300705235284</v>
      </c>
      <c r="D18" s="215"/>
      <c r="E18" s="215">
        <v>584.45805043978055</v>
      </c>
    </row>
    <row r="19" spans="1:5">
      <c r="A19" s="10" t="s">
        <v>718</v>
      </c>
      <c r="C19" s="215">
        <v>81.206012969999307</v>
      </c>
      <c r="D19" s="215"/>
      <c r="E19" s="215">
        <v>42.205274500000002</v>
      </c>
    </row>
  </sheetData>
  <mergeCells count="2">
    <mergeCell ref="B5:C5"/>
    <mergeCell ref="D5:E5"/>
  </mergeCells>
  <pageMargins left="0.7" right="0.7" top="0.75" bottom="0.75" header="0.3" footer="0.3"/>
  <pageSetup paperSize="9" orientation="portrait" verticalDpi="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selection activeCell="E32" sqref="E32"/>
    </sheetView>
  </sheetViews>
  <sheetFormatPr defaultColWidth="21.6640625" defaultRowHeight="13.2"/>
  <cols>
    <col min="1" max="16384" width="21.6640625" style="10"/>
  </cols>
  <sheetData>
    <row r="1" spans="1:3">
      <c r="A1" s="11" t="s">
        <v>722</v>
      </c>
    </row>
    <row r="5" spans="1:3">
      <c r="B5" s="16"/>
      <c r="C5" s="16"/>
    </row>
    <row r="6" spans="1:3">
      <c r="A6" s="51" t="s">
        <v>220</v>
      </c>
      <c r="B6" s="16" t="s">
        <v>723</v>
      </c>
      <c r="C6" s="16" t="s">
        <v>724</v>
      </c>
    </row>
    <row r="7" spans="1:3">
      <c r="A7" s="10" t="s">
        <v>725</v>
      </c>
      <c r="B7" s="43">
        <v>1255.5921009480003</v>
      </c>
      <c r="C7" s="43">
        <v>1255.5921009480003</v>
      </c>
    </row>
    <row r="8" spans="1:3">
      <c r="A8" s="10" t="s">
        <v>726</v>
      </c>
      <c r="B8" s="43"/>
      <c r="C8" s="43"/>
    </row>
    <row r="9" spans="1:3">
      <c r="A9" s="10" t="s">
        <v>727</v>
      </c>
      <c r="B9" s="43"/>
      <c r="C9" s="43"/>
    </row>
    <row r="10" spans="1:3">
      <c r="A10" s="10" t="s">
        <v>728</v>
      </c>
      <c r="B10" s="43">
        <v>1255.5921009480003</v>
      </c>
      <c r="C10" s="43">
        <v>1255.5921009480003</v>
      </c>
    </row>
    <row r="11" spans="1:3">
      <c r="A11" s="10" t="s">
        <v>675</v>
      </c>
      <c r="B11" s="43">
        <v>1114.8307348499859</v>
      </c>
      <c r="C11" s="43">
        <v>88.677555124999316</v>
      </c>
    </row>
    <row r="12" spans="1:3">
      <c r="A12" s="10" t="s">
        <v>678</v>
      </c>
      <c r="B12" s="43">
        <v>1084.1032432900001</v>
      </c>
      <c r="C12" s="43">
        <v>762.16193244200031</v>
      </c>
    </row>
    <row r="13" spans="1:3">
      <c r="A13" s="10" t="s">
        <v>682</v>
      </c>
      <c r="B13" s="43"/>
      <c r="C13" s="43"/>
    </row>
    <row r="14" spans="1:3">
      <c r="A14" s="10" t="s">
        <v>683</v>
      </c>
      <c r="B14" s="43">
        <v>369.078570149999</v>
      </c>
      <c r="C14" s="43">
        <v>36.817752690499901</v>
      </c>
    </row>
    <row r="15" spans="1:3">
      <c r="A15" s="10" t="s">
        <v>729</v>
      </c>
      <c r="B15" s="43">
        <v>25.534031939852177</v>
      </c>
      <c r="C15" s="43">
        <v>1.2676049598521881</v>
      </c>
    </row>
    <row r="16" spans="1:3">
      <c r="A16" s="10" t="s">
        <v>730</v>
      </c>
      <c r="B16" s="43">
        <v>2593.5465802298372</v>
      </c>
      <c r="C16" s="43">
        <v>888.92484521735173</v>
      </c>
    </row>
    <row r="17" spans="1:3">
      <c r="A17" s="10" t="s">
        <v>691</v>
      </c>
      <c r="B17" s="43"/>
      <c r="C17" s="43"/>
    </row>
    <row r="18" spans="1:3">
      <c r="A18" s="10" t="s">
        <v>692</v>
      </c>
      <c r="B18" s="43">
        <v>45.08758770999971</v>
      </c>
      <c r="C18" s="43">
        <v>22.543793854999855</v>
      </c>
    </row>
    <row r="19" spans="1:3">
      <c r="A19" s="10" t="s">
        <v>693</v>
      </c>
      <c r="B19" s="43">
        <v>20.905101169425855</v>
      </c>
      <c r="C19" s="43">
        <v>1.049044978425856</v>
      </c>
    </row>
    <row r="20" spans="1:3">
      <c r="A20" s="10" t="s">
        <v>731</v>
      </c>
      <c r="B20" s="43"/>
      <c r="C20" s="43"/>
    </row>
    <row r="21" spans="1:3">
      <c r="A21" s="10" t="s">
        <v>732</v>
      </c>
      <c r="B21" s="43">
        <v>65.992688879425572</v>
      </c>
      <c r="C21" s="43">
        <v>23.592838833425713</v>
      </c>
    </row>
    <row r="22" spans="1:3">
      <c r="B22" s="43"/>
      <c r="C22" s="43"/>
    </row>
    <row r="23" spans="1:3">
      <c r="A23" s="10" t="s">
        <v>733</v>
      </c>
      <c r="B23" s="43"/>
      <c r="C23" s="43">
        <v>1.4509946375321354</v>
      </c>
    </row>
    <row r="25" spans="1:3">
      <c r="A25" s="10" t="s">
        <v>734</v>
      </c>
    </row>
    <row r="28" spans="1:3">
      <c r="B28" s="16"/>
      <c r="C28" s="16"/>
    </row>
    <row r="29" spans="1:3">
      <c r="A29" s="51" t="s">
        <v>224</v>
      </c>
      <c r="B29" s="16" t="s">
        <v>723</v>
      </c>
      <c r="C29" s="16" t="s">
        <v>724</v>
      </c>
    </row>
    <row r="30" spans="1:3">
      <c r="A30" s="10" t="s">
        <v>725</v>
      </c>
      <c r="B30" s="43">
        <v>665.19583393000005</v>
      </c>
      <c r="C30" s="43">
        <v>665.19583393000005</v>
      </c>
    </row>
    <row r="31" spans="1:3">
      <c r="A31" s="10" t="s">
        <v>726</v>
      </c>
      <c r="B31" s="43">
        <v>18.006229310000002</v>
      </c>
      <c r="C31" s="43">
        <v>15.305294913500001</v>
      </c>
    </row>
    <row r="32" spans="1:3">
      <c r="A32" s="10" t="s">
        <v>727</v>
      </c>
      <c r="B32" s="43"/>
      <c r="C32" s="43"/>
    </row>
    <row r="33" spans="1:3">
      <c r="A33" s="10" t="s">
        <v>728</v>
      </c>
      <c r="B33" s="43">
        <v>683.20206324000003</v>
      </c>
      <c r="C33" s="43">
        <v>680.50112884350006</v>
      </c>
    </row>
    <row r="34" spans="1:3">
      <c r="A34" s="10" t="s">
        <v>675</v>
      </c>
      <c r="B34" s="43">
        <v>779.5914865699998</v>
      </c>
      <c r="C34" s="43">
        <v>57.368912543</v>
      </c>
    </row>
    <row r="35" spans="1:3">
      <c r="A35" s="10" t="s">
        <v>678</v>
      </c>
      <c r="B35" s="43">
        <v>567.63367472000004</v>
      </c>
      <c r="C35" s="43">
        <v>414.04374753800005</v>
      </c>
    </row>
    <row r="36" spans="1:3">
      <c r="A36" s="10" t="s">
        <v>682</v>
      </c>
      <c r="B36" s="43"/>
      <c r="C36" s="43"/>
    </row>
    <row r="37" spans="1:3">
      <c r="A37" s="10" t="s">
        <v>683</v>
      </c>
      <c r="B37" s="43">
        <v>149.68087432833497</v>
      </c>
      <c r="C37" s="43">
        <v>14.977773978334993</v>
      </c>
    </row>
    <row r="38" spans="1:3">
      <c r="A38" s="10" t="s">
        <v>729</v>
      </c>
      <c r="B38" s="43">
        <v>37.673800790000001</v>
      </c>
      <c r="C38" s="43">
        <v>3.767380079</v>
      </c>
    </row>
    <row r="39" spans="1:3">
      <c r="A39" s="10" t="s">
        <v>730</v>
      </c>
      <c r="B39" s="43">
        <v>1534.579836408335</v>
      </c>
      <c r="C39" s="43">
        <v>490.15781413833508</v>
      </c>
    </row>
    <row r="40" spans="1:3">
      <c r="A40" s="10" t="s">
        <v>691</v>
      </c>
      <c r="B40" s="43"/>
      <c r="C40" s="43"/>
    </row>
    <row r="41" spans="1:3">
      <c r="A41" s="10" t="s">
        <v>692</v>
      </c>
      <c r="B41" s="43">
        <v>13.604100115697895</v>
      </c>
      <c r="C41" s="43">
        <v>6.8020500578489473</v>
      </c>
    </row>
    <row r="42" spans="1:3">
      <c r="A42" s="10" t="s">
        <v>693</v>
      </c>
      <c r="B42" s="43">
        <v>36.345425797710412</v>
      </c>
      <c r="C42" s="43">
        <v>1.8479535716903126</v>
      </c>
    </row>
    <row r="43" spans="1:3">
      <c r="A43" s="10" t="s">
        <v>731</v>
      </c>
      <c r="B43" s="43"/>
      <c r="C43" s="43"/>
    </row>
    <row r="44" spans="1:3">
      <c r="A44" s="10" t="s">
        <v>732</v>
      </c>
      <c r="B44" s="43">
        <v>49.949525913408308</v>
      </c>
      <c r="C44" s="43">
        <v>8.6500036295392597</v>
      </c>
    </row>
    <row r="45" spans="1:3">
      <c r="B45" s="43"/>
      <c r="C45" s="43"/>
    </row>
    <row r="46" spans="1:3">
      <c r="A46" s="10" t="s">
        <v>733</v>
      </c>
      <c r="B46" s="43"/>
      <c r="C46" s="43">
        <v>1.4132712159423406</v>
      </c>
    </row>
    <row r="48" spans="1:3">
      <c r="A48" s="10" t="s">
        <v>734</v>
      </c>
    </row>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workbookViewId="0">
      <selection activeCell="I16" sqref="I16"/>
    </sheetView>
  </sheetViews>
  <sheetFormatPr defaultColWidth="9.109375" defaultRowHeight="13.2"/>
  <cols>
    <col min="1" max="1" width="82.88671875" style="10" customWidth="1"/>
    <col min="2" max="5" width="15.5546875" style="10" customWidth="1"/>
    <col min="6" max="16384" width="9.109375" style="10"/>
  </cols>
  <sheetData>
    <row r="1" spans="1:5">
      <c r="A1" s="11" t="s">
        <v>743</v>
      </c>
    </row>
    <row r="5" spans="1:5">
      <c r="A5" s="50">
        <v>2019</v>
      </c>
      <c r="B5" s="12" t="s">
        <v>1456</v>
      </c>
      <c r="C5" s="12"/>
      <c r="D5" s="12"/>
      <c r="E5" s="12"/>
    </row>
    <row r="6" spans="1:5">
      <c r="A6" s="12" t="s">
        <v>735</v>
      </c>
      <c r="B6" s="12" t="s">
        <v>642</v>
      </c>
      <c r="C6" s="12" t="s">
        <v>644</v>
      </c>
      <c r="D6" s="12" t="s">
        <v>107</v>
      </c>
      <c r="E6" s="12" t="s">
        <v>209</v>
      </c>
    </row>
    <row r="7" spans="1:5">
      <c r="A7" s="10" t="s">
        <v>744</v>
      </c>
      <c r="B7" s="39">
        <v>1216.3219699280003</v>
      </c>
      <c r="C7" s="39">
        <v>16.229620140000002</v>
      </c>
      <c r="D7" s="39">
        <v>23.040510879999999</v>
      </c>
      <c r="E7" s="39">
        <v>1255.5921009480005</v>
      </c>
    </row>
    <row r="8" spans="1:5">
      <c r="A8" s="10" t="s">
        <v>736</v>
      </c>
      <c r="B8" s="39">
        <v>1200.2209951880002</v>
      </c>
      <c r="C8" s="39"/>
      <c r="D8" s="39">
        <v>23.040510879999999</v>
      </c>
      <c r="E8" s="39">
        <v>1223.2615060680002</v>
      </c>
    </row>
    <row r="9" spans="1:5">
      <c r="A9" s="10" t="s">
        <v>737</v>
      </c>
      <c r="B9" s="39">
        <v>16.100974739999998</v>
      </c>
      <c r="C9" s="39">
        <v>16.229620140000002</v>
      </c>
      <c r="D9" s="39"/>
      <c r="E9" s="39">
        <v>32.33059488</v>
      </c>
    </row>
    <row r="10" spans="1:5">
      <c r="A10" s="10" t="s">
        <v>738</v>
      </c>
      <c r="B10" s="39"/>
      <c r="C10" s="39"/>
      <c r="D10" s="39"/>
      <c r="E10" s="39"/>
    </row>
    <row r="11" spans="1:5">
      <c r="A11" s="10" t="s">
        <v>206</v>
      </c>
      <c r="B11" s="39"/>
      <c r="C11" s="39"/>
      <c r="D11" s="39"/>
      <c r="E11" s="39"/>
    </row>
    <row r="12" spans="1:5">
      <c r="A12" s="10" t="s">
        <v>745</v>
      </c>
      <c r="B12" s="39"/>
      <c r="C12" s="39"/>
      <c r="D12" s="39"/>
      <c r="E12" s="39"/>
    </row>
    <row r="13" spans="1:5">
      <c r="A13" s="10" t="s">
        <v>737</v>
      </c>
      <c r="B13" s="39"/>
      <c r="C13" s="39"/>
      <c r="D13" s="39"/>
      <c r="E13" s="39"/>
    </row>
    <row r="14" spans="1:5">
      <c r="A14" s="10" t="s">
        <v>738</v>
      </c>
      <c r="B14" s="39"/>
      <c r="C14" s="39"/>
      <c r="D14" s="39"/>
      <c r="E14" s="39"/>
    </row>
    <row r="15" spans="1:5">
      <c r="A15" s="10" t="s">
        <v>206</v>
      </c>
      <c r="B15" s="39"/>
      <c r="C15" s="39"/>
      <c r="D15" s="39"/>
      <c r="E15" s="39"/>
    </row>
    <row r="16" spans="1:5">
      <c r="A16" s="10" t="s">
        <v>739</v>
      </c>
      <c r="B16" s="39"/>
      <c r="C16" s="39"/>
      <c r="D16" s="39"/>
      <c r="E16" s="39"/>
    </row>
    <row r="17" spans="1:5">
      <c r="A17" s="10" t="s">
        <v>301</v>
      </c>
      <c r="B17" s="39">
        <v>1216.3219699280003</v>
      </c>
      <c r="C17" s="39">
        <v>16.229620140000002</v>
      </c>
      <c r="D17" s="39">
        <v>23.040510879999999</v>
      </c>
      <c r="E17" s="39">
        <v>1255.5921009480005</v>
      </c>
    </row>
    <row r="18" spans="1:5">
      <c r="A18" s="10" t="s">
        <v>740</v>
      </c>
      <c r="B18" s="39"/>
      <c r="C18" s="39"/>
      <c r="D18" s="39"/>
      <c r="E18" s="39"/>
    </row>
    <row r="19" spans="1:5">
      <c r="A19" s="10" t="s">
        <v>741</v>
      </c>
      <c r="B19" s="39"/>
      <c r="C19" s="39"/>
      <c r="D19" s="39"/>
      <c r="E19" s="39"/>
    </row>
    <row r="20" spans="1:5">
      <c r="A20" s="10" t="s">
        <v>746</v>
      </c>
      <c r="B20" s="39"/>
      <c r="C20" s="39"/>
      <c r="D20" s="39"/>
      <c r="E20" s="39"/>
    </row>
    <row r="21" spans="1:5">
      <c r="A21" s="10" t="s">
        <v>742</v>
      </c>
      <c r="B21" s="39">
        <v>1216.3219699280003</v>
      </c>
      <c r="C21" s="39">
        <v>16.229620140000002</v>
      </c>
      <c r="D21" s="39">
        <v>23.040510879999999</v>
      </c>
      <c r="E21" s="39">
        <v>1255.5921009480005</v>
      </c>
    </row>
    <row r="22" spans="1:5">
      <c r="A22" s="10" t="s">
        <v>747</v>
      </c>
      <c r="B22" s="39"/>
      <c r="C22" s="39"/>
      <c r="D22" s="39"/>
      <c r="E22" s="39"/>
    </row>
    <row r="23" spans="1:5">
      <c r="A23" s="10" t="s">
        <v>748</v>
      </c>
      <c r="B23" s="39"/>
      <c r="C23" s="39"/>
      <c r="D23" s="39"/>
      <c r="E23" s="39"/>
    </row>
    <row r="24" spans="1:5">
      <c r="B24" s="39"/>
      <c r="C24" s="39"/>
      <c r="D24" s="39"/>
      <c r="E24" s="39"/>
    </row>
    <row r="25" spans="1:5">
      <c r="B25" s="39"/>
      <c r="C25" s="39"/>
      <c r="D25" s="39"/>
      <c r="E25" s="39"/>
    </row>
    <row r="26" spans="1:5">
      <c r="B26" s="39"/>
      <c r="C26" s="39"/>
      <c r="D26" s="39"/>
      <c r="E26" s="39"/>
    </row>
    <row r="27" spans="1:5">
      <c r="A27" s="50">
        <v>2018</v>
      </c>
      <c r="B27" s="40" t="s">
        <v>1456</v>
      </c>
      <c r="C27" s="40"/>
      <c r="D27" s="40"/>
      <c r="E27" s="40"/>
    </row>
    <row r="28" spans="1:5">
      <c r="A28" s="12" t="s">
        <v>735</v>
      </c>
      <c r="B28" s="40" t="s">
        <v>642</v>
      </c>
      <c r="C28" s="40" t="s">
        <v>644</v>
      </c>
      <c r="D28" s="40" t="s">
        <v>107</v>
      </c>
      <c r="E28" s="40" t="s">
        <v>209</v>
      </c>
    </row>
    <row r="29" spans="1:5">
      <c r="A29" s="10" t="s">
        <v>744</v>
      </c>
      <c r="B29" s="39">
        <v>645.52797465000003</v>
      </c>
      <c r="C29" s="39">
        <v>18.526505069999999</v>
      </c>
      <c r="D29" s="39">
        <v>1.14135421</v>
      </c>
      <c r="E29" s="39">
        <v>665.19583393000005</v>
      </c>
    </row>
    <row r="30" spans="1:5">
      <c r="A30" s="10" t="s">
        <v>736</v>
      </c>
      <c r="B30" s="39">
        <v>645.52797465000003</v>
      </c>
      <c r="C30" s="39"/>
      <c r="D30" s="39"/>
      <c r="E30" s="39">
        <v>645.52797465000003</v>
      </c>
    </row>
    <row r="31" spans="1:5">
      <c r="A31" s="10" t="s">
        <v>737</v>
      </c>
      <c r="B31" s="39"/>
      <c r="C31" s="39">
        <v>18.526505069999999</v>
      </c>
      <c r="D31" s="39">
        <v>1.14135421</v>
      </c>
      <c r="E31" s="39">
        <v>19.667859280000002</v>
      </c>
    </row>
    <row r="32" spans="1:5">
      <c r="A32" s="10" t="s">
        <v>738</v>
      </c>
      <c r="B32" s="39"/>
      <c r="C32" s="39"/>
      <c r="D32" s="39"/>
      <c r="E32" s="39"/>
    </row>
    <row r="33" spans="1:5">
      <c r="A33" s="10" t="s">
        <v>206</v>
      </c>
      <c r="B33" s="39"/>
      <c r="C33" s="39"/>
      <c r="D33" s="39"/>
      <c r="E33" s="39"/>
    </row>
    <row r="34" spans="1:5">
      <c r="A34" s="10" t="s">
        <v>745</v>
      </c>
      <c r="B34" s="39">
        <v>12.185268134500001</v>
      </c>
      <c r="C34" s="39">
        <v>3.989156505</v>
      </c>
      <c r="D34" s="39"/>
      <c r="E34" s="39">
        <v>16.1744246395</v>
      </c>
    </row>
    <row r="35" spans="1:5">
      <c r="A35" s="10" t="s">
        <v>737</v>
      </c>
      <c r="B35" s="39">
        <v>11.316138408500001</v>
      </c>
      <c r="C35" s="39">
        <v>3.989156505</v>
      </c>
      <c r="D35" s="39"/>
      <c r="E35" s="39">
        <v>15.305294913499999</v>
      </c>
    </row>
    <row r="36" spans="1:5">
      <c r="A36" s="10" t="s">
        <v>738</v>
      </c>
      <c r="B36" s="39"/>
      <c r="C36" s="39"/>
      <c r="D36" s="39"/>
      <c r="E36" s="39"/>
    </row>
    <row r="37" spans="1:5">
      <c r="A37" s="10" t="s">
        <v>206</v>
      </c>
      <c r="B37" s="39"/>
      <c r="C37" s="39"/>
      <c r="D37" s="39"/>
      <c r="E37" s="39"/>
    </row>
    <row r="38" spans="1:5">
      <c r="A38" s="10" t="s">
        <v>739</v>
      </c>
      <c r="B38" s="39">
        <v>0.86912972600000005</v>
      </c>
      <c r="C38" s="39"/>
      <c r="D38" s="39"/>
      <c r="E38" s="39">
        <v>0.86912972600000005</v>
      </c>
    </row>
    <row r="39" spans="1:5">
      <c r="A39" s="10" t="s">
        <v>209</v>
      </c>
      <c r="B39" s="39">
        <v>657.71324278450004</v>
      </c>
      <c r="C39" s="39">
        <v>22.515661574999999</v>
      </c>
      <c r="D39" s="39">
        <v>1.14135421</v>
      </c>
      <c r="E39" s="39">
        <v>681.37025856950004</v>
      </c>
    </row>
    <row r="40" spans="1:5">
      <c r="A40" s="10" t="s">
        <v>740</v>
      </c>
      <c r="B40" s="39"/>
      <c r="C40" s="39"/>
      <c r="D40" s="39"/>
      <c r="E40" s="39"/>
    </row>
    <row r="41" spans="1:5">
      <c r="A41" s="10" t="s">
        <v>741</v>
      </c>
      <c r="B41" s="39"/>
      <c r="C41" s="39"/>
      <c r="D41" s="39"/>
      <c r="E41" s="39"/>
    </row>
    <row r="42" spans="1:5">
      <c r="A42" s="10" t="s">
        <v>746</v>
      </c>
      <c r="B42" s="39"/>
      <c r="C42" s="39"/>
      <c r="D42" s="39"/>
      <c r="E42" s="39"/>
    </row>
    <row r="43" spans="1:5">
      <c r="A43" s="10" t="s">
        <v>742</v>
      </c>
      <c r="B43" s="39">
        <v>657.71324278450004</v>
      </c>
      <c r="C43" s="39">
        <v>22.515661574999999</v>
      </c>
      <c r="D43" s="39">
        <v>1.14135421</v>
      </c>
      <c r="E43" s="39">
        <v>681.37025856950004</v>
      </c>
    </row>
    <row r="44" spans="1:5">
      <c r="A44" s="10" t="s">
        <v>747</v>
      </c>
    </row>
    <row r="45" spans="1:5">
      <c r="A45" s="10" t="s">
        <v>748</v>
      </c>
    </row>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D27" sqref="D27"/>
    </sheetView>
  </sheetViews>
  <sheetFormatPr defaultColWidth="9.109375" defaultRowHeight="13.2"/>
  <cols>
    <col min="1" max="1" width="59" style="10" customWidth="1"/>
    <col min="2" max="6" width="16.88671875" style="10" customWidth="1"/>
    <col min="7" max="16384" width="9.109375" style="10"/>
  </cols>
  <sheetData>
    <row r="1" spans="1:8">
      <c r="A1" s="11" t="s">
        <v>753</v>
      </c>
    </row>
    <row r="4" spans="1:8">
      <c r="A4" s="10" t="s">
        <v>123</v>
      </c>
      <c r="H4" s="286"/>
    </row>
    <row r="5" spans="1:8">
      <c r="A5" s="12" t="s">
        <v>735</v>
      </c>
      <c r="B5" s="16" t="s">
        <v>124</v>
      </c>
      <c r="C5" s="16" t="s">
        <v>150</v>
      </c>
      <c r="D5" s="16" t="s">
        <v>749</v>
      </c>
      <c r="E5" s="16" t="s">
        <v>750</v>
      </c>
      <c r="F5" s="16" t="s">
        <v>125</v>
      </c>
    </row>
    <row r="6" spans="1:8">
      <c r="A6" s="10" t="s">
        <v>744</v>
      </c>
      <c r="B6" s="39">
        <f t="shared" ref="B6:E6" si="0">SUM(B7:B10)</f>
        <v>1255.5921009480003</v>
      </c>
      <c r="C6" s="39">
        <f t="shared" si="0"/>
        <v>1551.0353647531408</v>
      </c>
      <c r="D6" s="39">
        <f t="shared" si="0"/>
        <v>1184.999434242688</v>
      </c>
      <c r="E6" s="39">
        <f t="shared" si="0"/>
        <v>738.44776347000004</v>
      </c>
      <c r="F6" s="39">
        <f>SUM(F7:F10)</f>
        <v>665.19583393000005</v>
      </c>
    </row>
    <row r="7" spans="1:8">
      <c r="A7" s="10" t="s">
        <v>736</v>
      </c>
      <c r="B7" s="39">
        <v>1223.2615060680002</v>
      </c>
      <c r="C7" s="39">
        <v>1435.4001073431409</v>
      </c>
      <c r="D7" s="39">
        <v>1073.7702041826881</v>
      </c>
      <c r="E7" s="39">
        <v>738.44776347000004</v>
      </c>
      <c r="F7" s="39">
        <v>645.52797465000003</v>
      </c>
    </row>
    <row r="8" spans="1:8">
      <c r="A8" s="10" t="s">
        <v>737</v>
      </c>
      <c r="B8" s="39">
        <v>32.33059488</v>
      </c>
      <c r="C8" s="39">
        <v>115.63525740999999</v>
      </c>
      <c r="D8" s="39">
        <v>111.22923006000001</v>
      </c>
      <c r="E8" s="39">
        <v>0</v>
      </c>
      <c r="F8" s="39">
        <v>19.667859280000002</v>
      </c>
    </row>
    <row r="9" spans="1:8">
      <c r="A9" s="10" t="s">
        <v>738</v>
      </c>
      <c r="B9" s="39"/>
      <c r="C9" s="39"/>
      <c r="D9" s="39"/>
      <c r="E9" s="39"/>
      <c r="F9" s="39"/>
    </row>
    <row r="10" spans="1:8">
      <c r="A10" s="10" t="s">
        <v>206</v>
      </c>
      <c r="B10" s="39"/>
      <c r="C10" s="39"/>
      <c r="D10" s="39"/>
      <c r="E10" s="39"/>
      <c r="F10" s="39"/>
    </row>
    <row r="11" spans="1:8">
      <c r="A11" s="10" t="s">
        <v>745</v>
      </c>
      <c r="B11" s="39"/>
      <c r="C11" s="39"/>
      <c r="D11" s="39"/>
      <c r="E11" s="39">
        <f t="shared" ref="E11" si="1">SUM(E12:E15)</f>
        <v>15.317967019500001</v>
      </c>
      <c r="F11" s="39">
        <f>SUM(F12:F15)</f>
        <v>15.305294913500001</v>
      </c>
    </row>
    <row r="12" spans="1:8">
      <c r="A12" s="10" t="s">
        <v>737</v>
      </c>
      <c r="B12" s="39"/>
      <c r="C12" s="39"/>
      <c r="D12" s="39"/>
      <c r="E12" s="39">
        <v>15.317967019500001</v>
      </c>
      <c r="F12" s="39">
        <v>15.305294913500001</v>
      </c>
      <c r="H12" s="286"/>
    </row>
    <row r="13" spans="1:8">
      <c r="A13" s="10" t="s">
        <v>738</v>
      </c>
      <c r="B13" s="39"/>
      <c r="C13" s="39"/>
      <c r="D13" s="39"/>
      <c r="E13" s="39"/>
      <c r="F13" s="39"/>
      <c r="H13" s="286"/>
    </row>
    <row r="14" spans="1:8">
      <c r="A14" s="10" t="s">
        <v>206</v>
      </c>
      <c r="B14" s="39"/>
      <c r="C14" s="39"/>
      <c r="D14" s="39"/>
      <c r="E14" s="39"/>
      <c r="F14" s="39"/>
    </row>
    <row r="15" spans="1:8">
      <c r="A15" s="10" t="s">
        <v>739</v>
      </c>
      <c r="B15" s="39"/>
      <c r="C15" s="39"/>
      <c r="D15" s="39"/>
      <c r="E15" s="39"/>
      <c r="F15" s="39"/>
    </row>
    <row r="16" spans="1:8">
      <c r="A16" s="10" t="s">
        <v>209</v>
      </c>
      <c r="B16" s="39">
        <f>SUM(B6,B11)</f>
        <v>1255.5921009480003</v>
      </c>
      <c r="C16" s="39">
        <f t="shared" ref="C16:F16" si="2">SUM(C6,C11)</f>
        <v>1551.0353647531408</v>
      </c>
      <c r="D16" s="39">
        <f t="shared" si="2"/>
        <v>1184.999434242688</v>
      </c>
      <c r="E16" s="39">
        <f t="shared" si="2"/>
        <v>753.76573048950002</v>
      </c>
      <c r="F16" s="39">
        <f t="shared" si="2"/>
        <v>680.50112884350006</v>
      </c>
    </row>
    <row r="17" spans="1:6">
      <c r="A17" s="10" t="s">
        <v>740</v>
      </c>
      <c r="B17" s="39"/>
      <c r="C17" s="39"/>
      <c r="D17" s="39"/>
      <c r="E17" s="39"/>
      <c r="F17" s="39"/>
    </row>
    <row r="18" spans="1:6">
      <c r="A18" s="10" t="s">
        <v>741</v>
      </c>
      <c r="B18" s="39"/>
      <c r="C18" s="39"/>
      <c r="D18" s="39"/>
      <c r="E18" s="39"/>
      <c r="F18" s="39"/>
    </row>
    <row r="19" spans="1:6">
      <c r="A19" s="10" t="s">
        <v>746</v>
      </c>
      <c r="B19" s="39"/>
      <c r="C19" s="39"/>
      <c r="D19" s="39"/>
      <c r="E19" s="39"/>
      <c r="F19" s="39"/>
    </row>
    <row r="20" spans="1:6">
      <c r="A20" s="10" t="s">
        <v>742</v>
      </c>
      <c r="B20" s="39">
        <f t="shared" ref="B20:E20" si="3">SUM(B16,B17:B19)</f>
        <v>1255.5921009480003</v>
      </c>
      <c r="C20" s="39">
        <f t="shared" si="3"/>
        <v>1551.0353647531408</v>
      </c>
      <c r="D20" s="39">
        <f t="shared" si="3"/>
        <v>1184.999434242688</v>
      </c>
      <c r="E20" s="39">
        <f t="shared" si="3"/>
        <v>753.76573048950002</v>
      </c>
      <c r="F20" s="39">
        <f>SUM(F16,F17:F19)</f>
        <v>680.50112884350006</v>
      </c>
    </row>
    <row r="22" spans="1:6">
      <c r="A22" s="10" t="s">
        <v>751</v>
      </c>
    </row>
    <row r="23" spans="1:6">
      <c r="A23" s="10" t="s">
        <v>752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heetViews>
  <sheetFormatPr defaultColWidth="9.109375" defaultRowHeight="13.2"/>
  <cols>
    <col min="1" max="1" width="51.6640625" style="10" customWidth="1"/>
    <col min="2" max="6" width="9.109375" style="10"/>
    <col min="7" max="7" width="13.6640625" style="10" customWidth="1"/>
    <col min="8" max="8" width="21.44140625" style="10" customWidth="1"/>
    <col min="9" max="16384" width="9.109375" style="10"/>
  </cols>
  <sheetData>
    <row r="1" spans="1:10">
      <c r="A1" s="11" t="s">
        <v>169</v>
      </c>
    </row>
    <row r="5" spans="1:10">
      <c r="A5" s="12" t="s">
        <v>123</v>
      </c>
      <c r="B5" s="12"/>
      <c r="C5" s="12"/>
      <c r="D5" s="12"/>
      <c r="E5" s="12"/>
      <c r="F5" s="12"/>
      <c r="G5" s="16" t="s">
        <v>157</v>
      </c>
      <c r="H5" s="16">
        <v>2018</v>
      </c>
    </row>
    <row r="6" spans="1:10">
      <c r="A6" s="10" t="s">
        <v>158</v>
      </c>
      <c r="G6" s="43">
        <v>206.02846500000001</v>
      </c>
      <c r="H6" s="43">
        <v>157.76276200000001</v>
      </c>
      <c r="J6" s="10" t="s">
        <v>1203</v>
      </c>
    </row>
    <row r="7" spans="1:10">
      <c r="A7" s="10" t="s">
        <v>159</v>
      </c>
      <c r="G7" s="43">
        <v>0</v>
      </c>
      <c r="H7" s="43">
        <v>0</v>
      </c>
      <c r="J7" s="10" t="s">
        <v>1203</v>
      </c>
    </row>
    <row r="8" spans="1:10">
      <c r="A8" s="10" t="s">
        <v>155</v>
      </c>
      <c r="G8" s="43">
        <v>-20.896816999999999</v>
      </c>
      <c r="H8" s="43">
        <v>-17.766786</v>
      </c>
      <c r="J8" s="10" t="s">
        <v>1203</v>
      </c>
    </row>
    <row r="9" spans="1:10">
      <c r="A9" s="10" t="s">
        <v>160</v>
      </c>
      <c r="G9" s="43">
        <f>SUM(G6:G8)</f>
        <v>185.13164800000001</v>
      </c>
      <c r="H9" s="43">
        <f>SUM(H6:H8)</f>
        <v>139.99597600000001</v>
      </c>
      <c r="J9" s="10" t="s">
        <v>1203</v>
      </c>
    </row>
    <row r="10" spans="1:10">
      <c r="A10" s="10" t="s">
        <v>161</v>
      </c>
      <c r="G10" s="43">
        <v>0</v>
      </c>
      <c r="H10" s="43">
        <v>-0.19325800000000001</v>
      </c>
      <c r="J10" s="10" t="s">
        <v>1204</v>
      </c>
    </row>
    <row r="11" spans="1:10">
      <c r="A11" s="10" t="s">
        <v>162</v>
      </c>
      <c r="G11" s="43">
        <v>-3.6138789999999998</v>
      </c>
      <c r="H11" s="43">
        <v>-3.6138789999999998</v>
      </c>
      <c r="J11" s="10" t="s">
        <v>1204</v>
      </c>
    </row>
    <row r="12" spans="1:10">
      <c r="A12" s="10" t="s">
        <v>131</v>
      </c>
      <c r="G12" s="43">
        <f>-18.3186-G11</f>
        <v>-14.704720999999999</v>
      </c>
      <c r="H12" s="43">
        <f>-19.084373-H11</f>
        <v>-15.470493999999999</v>
      </c>
      <c r="J12" s="10" t="s">
        <v>1204</v>
      </c>
    </row>
    <row r="13" spans="1:10">
      <c r="A13" s="10" t="s">
        <v>163</v>
      </c>
      <c r="G13" s="43">
        <v>0</v>
      </c>
      <c r="H13" s="43">
        <v>0</v>
      </c>
      <c r="J13" s="10" t="s">
        <v>1204</v>
      </c>
    </row>
    <row r="14" spans="1:10">
      <c r="A14" s="10" t="s">
        <v>164</v>
      </c>
      <c r="G14" s="43">
        <v>0</v>
      </c>
      <c r="H14" s="43">
        <v>0</v>
      </c>
      <c r="J14" s="10" t="s">
        <v>1204</v>
      </c>
    </row>
    <row r="15" spans="1:10">
      <c r="A15" s="10" t="s">
        <v>165</v>
      </c>
      <c r="G15" s="43">
        <v>-3.3271000000000002E-2</v>
      </c>
      <c r="H15" s="43">
        <v>0</v>
      </c>
      <c r="J15" s="10" t="s">
        <v>1204</v>
      </c>
    </row>
    <row r="16" spans="1:10">
      <c r="A16" s="10" t="s">
        <v>166</v>
      </c>
      <c r="G16" s="43">
        <v>0</v>
      </c>
      <c r="H16" s="43">
        <v>0</v>
      </c>
      <c r="J16" s="10" t="s">
        <v>1204</v>
      </c>
    </row>
    <row r="17" spans="1:11">
      <c r="A17" s="10" t="s">
        <v>167</v>
      </c>
      <c r="G17" s="43">
        <v>0</v>
      </c>
      <c r="H17" s="43">
        <v>0</v>
      </c>
      <c r="J17" s="10" t="s">
        <v>1204</v>
      </c>
    </row>
    <row r="18" spans="1:11">
      <c r="A18" s="10" t="s">
        <v>168</v>
      </c>
      <c r="G18" s="43">
        <f>SUM(G9:G17)</f>
        <v>166.779777</v>
      </c>
      <c r="H18" s="43">
        <f>SUM(H9:H17)</f>
        <v>120.71834500000003</v>
      </c>
      <c r="J18" s="10" t="s">
        <v>1204</v>
      </c>
    </row>
    <row r="20" spans="1:11">
      <c r="A20" s="199" t="s">
        <v>1381</v>
      </c>
      <c r="B20" s="199"/>
      <c r="C20" s="199"/>
      <c r="D20" s="199"/>
      <c r="E20" s="199"/>
      <c r="F20" s="199"/>
      <c r="G20" s="199"/>
      <c r="H20" s="199"/>
      <c r="I20" s="199"/>
      <c r="J20" s="199"/>
      <c r="K20" s="199"/>
    </row>
  </sheetData>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E22" sqref="E22"/>
    </sheetView>
  </sheetViews>
  <sheetFormatPr defaultColWidth="9.109375" defaultRowHeight="13.2"/>
  <cols>
    <col min="1" max="1" width="51.33203125" style="10" customWidth="1"/>
    <col min="2" max="2" width="9.109375" style="10"/>
    <col min="3" max="3" width="8.6640625" style="10" customWidth="1"/>
    <col min="4" max="4" width="17.44140625" style="10" customWidth="1"/>
    <col min="5" max="16384" width="9.109375" style="10"/>
  </cols>
  <sheetData>
    <row r="1" spans="1:6">
      <c r="A1" s="11" t="s">
        <v>754</v>
      </c>
    </row>
    <row r="4" spans="1:6">
      <c r="A4" s="51">
        <v>2019</v>
      </c>
      <c r="B4" s="12"/>
      <c r="C4" s="12"/>
      <c r="D4" s="16" t="s">
        <v>123</v>
      </c>
    </row>
    <row r="5" spans="1:6">
      <c r="A5" s="10" t="s">
        <v>19</v>
      </c>
      <c r="D5" s="39">
        <v>1975.2178679452584</v>
      </c>
    </row>
    <row r="6" spans="1:6">
      <c r="A6" s="10" t="s">
        <v>20</v>
      </c>
      <c r="D6" s="39">
        <v>1291.8719215484684</v>
      </c>
    </row>
    <row r="7" spans="1:6">
      <c r="A7" s="10" t="s">
        <v>21</v>
      </c>
      <c r="D7" s="39">
        <v>683.34594639678994</v>
      </c>
    </row>
    <row r="8" spans="1:6">
      <c r="A8" s="10" t="s">
        <v>18</v>
      </c>
      <c r="D8" s="39">
        <v>1.5289579678902807</v>
      </c>
    </row>
    <row r="9" spans="1:6">
      <c r="A9" s="10" t="s">
        <v>755</v>
      </c>
      <c r="F9" s="286"/>
    </row>
  </sheetData>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workbookViewId="0">
      <selection activeCell="I15" sqref="I15"/>
    </sheetView>
  </sheetViews>
  <sheetFormatPr defaultColWidth="9.109375" defaultRowHeight="13.2"/>
  <cols>
    <col min="1" max="1" width="47" style="10" customWidth="1"/>
    <col min="2" max="4" width="25.6640625" style="10" customWidth="1"/>
    <col min="5" max="16384" width="9.109375" style="10"/>
  </cols>
  <sheetData>
    <row r="1" spans="1:6">
      <c r="A1" s="11" t="s">
        <v>779</v>
      </c>
    </row>
    <row r="5" spans="1:6">
      <c r="A5" s="50">
        <v>2019</v>
      </c>
    </row>
    <row r="6" spans="1:6">
      <c r="A6" s="12" t="s">
        <v>756</v>
      </c>
      <c r="B6" s="12" t="s">
        <v>757</v>
      </c>
      <c r="C6" s="16" t="s">
        <v>758</v>
      </c>
      <c r="D6" s="16" t="s">
        <v>123</v>
      </c>
    </row>
    <row r="7" spans="1:6">
      <c r="A7" s="10" t="s">
        <v>759</v>
      </c>
    </row>
    <row r="8" spans="1:6">
      <c r="A8" s="10" t="s">
        <v>760</v>
      </c>
      <c r="B8" s="10" t="s">
        <v>761</v>
      </c>
      <c r="C8" s="37">
        <v>0</v>
      </c>
      <c r="D8" s="43">
        <v>3.5823510799999996</v>
      </c>
      <c r="F8" s="286"/>
    </row>
    <row r="9" spans="1:6">
      <c r="A9" s="10" t="s">
        <v>762</v>
      </c>
      <c r="B9" s="10" t="s">
        <v>761</v>
      </c>
      <c r="C9" s="37"/>
      <c r="D9" s="43"/>
    </row>
    <row r="10" spans="1:6">
      <c r="A10" s="10" t="s">
        <v>763</v>
      </c>
      <c r="C10" s="37"/>
      <c r="D10" s="43"/>
    </row>
    <row r="11" spans="1:6">
      <c r="A11" s="10" t="s">
        <v>764</v>
      </c>
      <c r="B11" s="10" t="s">
        <v>765</v>
      </c>
      <c r="C11" s="37">
        <v>1.1961563961352471E-2</v>
      </c>
      <c r="D11" s="43">
        <v>2185.8908496299132</v>
      </c>
    </row>
    <row r="12" spans="1:6">
      <c r="A12" s="10" t="s">
        <v>766</v>
      </c>
      <c r="B12" s="10" t="s">
        <v>761</v>
      </c>
      <c r="C12" s="37">
        <v>0.44181929737944686</v>
      </c>
      <c r="D12" s="43">
        <v>508.54949703000028</v>
      </c>
      <c r="F12" s="286"/>
    </row>
    <row r="13" spans="1:6">
      <c r="A13" s="10" t="s">
        <v>767</v>
      </c>
      <c r="C13" s="37"/>
      <c r="D13" s="43"/>
    </row>
    <row r="14" spans="1:6">
      <c r="A14" s="10" t="s">
        <v>768</v>
      </c>
      <c r="B14" s="10" t="s">
        <v>761</v>
      </c>
      <c r="C14" s="37"/>
      <c r="D14" s="43"/>
    </row>
    <row r="15" spans="1:6">
      <c r="A15" s="10" t="s">
        <v>769</v>
      </c>
      <c r="B15" s="10" t="s">
        <v>761</v>
      </c>
      <c r="C15" s="37"/>
      <c r="D15" s="43"/>
    </row>
    <row r="16" spans="1:6">
      <c r="A16" s="10" t="s">
        <v>770</v>
      </c>
      <c r="B16" s="10" t="s">
        <v>771</v>
      </c>
      <c r="C16" s="37"/>
      <c r="D16" s="43"/>
    </row>
    <row r="17" spans="1:4">
      <c r="A17" s="10" t="s">
        <v>772</v>
      </c>
      <c r="B17" s="10" t="s">
        <v>771</v>
      </c>
      <c r="C17" s="37"/>
      <c r="D17" s="43"/>
    </row>
    <row r="18" spans="1:4">
      <c r="A18" s="10" t="s">
        <v>107</v>
      </c>
      <c r="C18" s="37">
        <v>4.8183911192283491</v>
      </c>
      <c r="D18" s="43">
        <v>25.643790915555552</v>
      </c>
    </row>
    <row r="19" spans="1:4">
      <c r="A19" s="10" t="s">
        <v>380</v>
      </c>
      <c r="C19" s="37"/>
      <c r="D19" s="43"/>
    </row>
    <row r="20" spans="1:4">
      <c r="A20" s="10" t="s">
        <v>773</v>
      </c>
      <c r="C20" s="37"/>
      <c r="D20" s="43"/>
    </row>
    <row r="21" spans="1:4">
      <c r="A21" s="10" t="s">
        <v>774</v>
      </c>
      <c r="C21" s="37"/>
      <c r="D21" s="43"/>
    </row>
    <row r="22" spans="1:4">
      <c r="A22" s="10" t="s">
        <v>775</v>
      </c>
      <c r="B22" s="10" t="s">
        <v>771</v>
      </c>
      <c r="C22" s="37">
        <v>8.0764632627646336</v>
      </c>
      <c r="D22" s="43">
        <v>55</v>
      </c>
    </row>
    <row r="23" spans="1:4">
      <c r="A23" s="10" t="s">
        <v>776</v>
      </c>
      <c r="B23" s="10" t="s">
        <v>771</v>
      </c>
      <c r="C23" s="37"/>
      <c r="D23" s="43">
        <v>20</v>
      </c>
    </row>
    <row r="24" spans="1:4">
      <c r="A24" s="10" t="s">
        <v>199</v>
      </c>
      <c r="C24" s="37"/>
      <c r="D24" s="43">
        <v>206.02846534999998</v>
      </c>
    </row>
    <row r="25" spans="1:4">
      <c r="A25" s="10" t="s">
        <v>209</v>
      </c>
      <c r="C25" s="37"/>
      <c r="D25" s="43">
        <v>3004.6949540054688</v>
      </c>
    </row>
    <row r="26" spans="1:4">
      <c r="A26" s="10" t="s">
        <v>777</v>
      </c>
      <c r="C26" s="37"/>
      <c r="D26" s="43"/>
    </row>
    <row r="27" spans="1:4">
      <c r="A27" s="10" t="s">
        <v>778</v>
      </c>
      <c r="C27" s="37"/>
      <c r="D27" s="43">
        <v>3004.6949540054688</v>
      </c>
    </row>
    <row r="28" spans="1:4">
      <c r="C28" s="37"/>
      <c r="D28" s="43"/>
    </row>
    <row r="29" spans="1:4">
      <c r="A29" s="50">
        <v>2018</v>
      </c>
      <c r="C29" s="37"/>
      <c r="D29" s="43"/>
    </row>
    <row r="30" spans="1:4">
      <c r="A30" s="12" t="s">
        <v>756</v>
      </c>
      <c r="B30" s="12" t="s">
        <v>757</v>
      </c>
      <c r="C30" s="38" t="s">
        <v>758</v>
      </c>
      <c r="D30" s="44" t="s">
        <v>123</v>
      </c>
    </row>
    <row r="31" spans="1:4">
      <c r="A31" s="10" t="s">
        <v>759</v>
      </c>
      <c r="C31" s="37"/>
      <c r="D31" s="43"/>
    </row>
    <row r="32" spans="1:4">
      <c r="A32" s="10" t="s">
        <v>760</v>
      </c>
      <c r="B32" s="10" t="s">
        <v>761</v>
      </c>
      <c r="C32" s="37">
        <v>0</v>
      </c>
      <c r="D32" s="43">
        <v>0.95029939999999991</v>
      </c>
    </row>
    <row r="33" spans="1:12">
      <c r="A33" s="10" t="s">
        <v>762</v>
      </c>
      <c r="B33" s="10" t="s">
        <v>761</v>
      </c>
      <c r="C33" s="37"/>
      <c r="D33" s="43"/>
    </row>
    <row r="34" spans="1:12">
      <c r="A34" s="10" t="s">
        <v>763</v>
      </c>
      <c r="C34" s="37"/>
      <c r="D34" s="43"/>
    </row>
    <row r="35" spans="1:12">
      <c r="A35" s="10" t="s">
        <v>764</v>
      </c>
      <c r="B35" s="10" t="s">
        <v>765</v>
      </c>
      <c r="C35" s="37">
        <v>9.063990185145341E-3</v>
      </c>
      <c r="D35" s="43">
        <v>1303.1791138199687</v>
      </c>
    </row>
    <row r="36" spans="1:12">
      <c r="A36" s="10" t="s">
        <v>766</v>
      </c>
      <c r="B36" s="10" t="s">
        <v>761</v>
      </c>
      <c r="C36" s="37">
        <v>0.55849976154225001</v>
      </c>
      <c r="D36" s="43">
        <v>117.79510575000005</v>
      </c>
    </row>
    <row r="37" spans="1:12">
      <c r="A37" s="10" t="s">
        <v>767</v>
      </c>
      <c r="C37" s="37"/>
      <c r="D37" s="43"/>
    </row>
    <row r="38" spans="1:12">
      <c r="A38" s="10" t="s">
        <v>768</v>
      </c>
      <c r="B38" s="10" t="s">
        <v>761</v>
      </c>
      <c r="C38" s="37"/>
      <c r="D38" s="43"/>
    </row>
    <row r="39" spans="1:12">
      <c r="A39" s="10" t="s">
        <v>769</v>
      </c>
      <c r="B39" s="10" t="s">
        <v>761</v>
      </c>
      <c r="C39" s="37"/>
      <c r="D39" s="43"/>
    </row>
    <row r="40" spans="1:12">
      <c r="A40" s="10" t="s">
        <v>770</v>
      </c>
      <c r="B40" s="10" t="s">
        <v>771</v>
      </c>
      <c r="C40" s="37"/>
      <c r="D40" s="43"/>
    </row>
    <row r="41" spans="1:12">
      <c r="A41" s="10" t="s">
        <v>772</v>
      </c>
      <c r="B41" s="10" t="s">
        <v>771</v>
      </c>
      <c r="C41" s="37"/>
      <c r="D41" s="43"/>
    </row>
    <row r="42" spans="1:12">
      <c r="A42" s="10" t="s">
        <v>107</v>
      </c>
      <c r="C42" s="37">
        <v>8.469339021917845</v>
      </c>
      <c r="D42" s="43">
        <v>21.529411839999998</v>
      </c>
    </row>
    <row r="43" spans="1:12">
      <c r="A43" s="10" t="s">
        <v>380</v>
      </c>
      <c r="C43" s="37"/>
      <c r="D43" s="43"/>
    </row>
    <row r="44" spans="1:12">
      <c r="A44" s="10" t="s">
        <v>773</v>
      </c>
      <c r="C44" s="37"/>
      <c r="D44" s="43"/>
    </row>
    <row r="45" spans="1:12">
      <c r="A45" s="10" t="s">
        <v>774</v>
      </c>
      <c r="C45" s="37"/>
      <c r="D45" s="43"/>
    </row>
    <row r="46" spans="1:12">
      <c r="A46" s="10" t="s">
        <v>775</v>
      </c>
      <c r="B46" s="10" t="s">
        <v>771</v>
      </c>
      <c r="C46" s="37">
        <v>7.6205398713566757</v>
      </c>
      <c r="D46" s="43">
        <v>50.9</v>
      </c>
      <c r="L46" s="286"/>
    </row>
    <row r="47" spans="1:12">
      <c r="A47" s="10" t="s">
        <v>776</v>
      </c>
      <c r="B47" s="10" t="s">
        <v>771</v>
      </c>
      <c r="C47" s="37"/>
      <c r="D47" s="43"/>
    </row>
    <row r="48" spans="1:12">
      <c r="A48" s="10" t="s">
        <v>199</v>
      </c>
      <c r="C48" s="37"/>
      <c r="D48" s="43">
        <v>157.76276217999998</v>
      </c>
    </row>
    <row r="49" spans="1:4">
      <c r="A49" s="10" t="s">
        <v>209</v>
      </c>
      <c r="C49" s="37"/>
      <c r="D49" s="43">
        <v>1652.1166929899687</v>
      </c>
    </row>
    <row r="50" spans="1:4">
      <c r="A50" s="10" t="s">
        <v>777</v>
      </c>
      <c r="C50" s="37"/>
      <c r="D50" s="43"/>
    </row>
    <row r="51" spans="1:4">
      <c r="A51" s="10" t="s">
        <v>778</v>
      </c>
      <c r="C51" s="37"/>
      <c r="D51" s="43">
        <v>1652.1166929899687</v>
      </c>
    </row>
    <row r="52" spans="1:4">
      <c r="C52" s="37"/>
    </row>
  </sheetData>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selection activeCell="O21" sqref="O21"/>
    </sheetView>
  </sheetViews>
  <sheetFormatPr defaultColWidth="9.109375" defaultRowHeight="13.2"/>
  <cols>
    <col min="1" max="1" width="47.6640625" style="10" customWidth="1"/>
    <col min="2" max="16384" width="9.109375" style="10"/>
  </cols>
  <sheetData>
    <row r="1" spans="1:8">
      <c r="A1" s="11" t="s">
        <v>786</v>
      </c>
    </row>
    <row r="4" spans="1:8" ht="13.8" thickBot="1"/>
    <row r="5" spans="1:8" ht="13.8" thickBot="1">
      <c r="A5" s="329" t="s">
        <v>1495</v>
      </c>
      <c r="B5" s="330" t="s">
        <v>642</v>
      </c>
      <c r="C5" s="330" t="s">
        <v>644</v>
      </c>
      <c r="D5" s="331" t="s">
        <v>641</v>
      </c>
      <c r="E5" s="330" t="s">
        <v>640</v>
      </c>
      <c r="F5" s="330" t="s">
        <v>643</v>
      </c>
      <c r="G5" s="330" t="s">
        <v>107</v>
      </c>
      <c r="H5" s="332" t="s">
        <v>780</v>
      </c>
    </row>
    <row r="6" spans="1:8">
      <c r="A6" s="333" t="s">
        <v>1497</v>
      </c>
      <c r="B6" s="337"/>
      <c r="C6" s="337"/>
      <c r="D6" s="338"/>
      <c r="E6" s="337"/>
      <c r="F6" s="337"/>
      <c r="G6" s="337"/>
      <c r="H6" s="337"/>
    </row>
    <row r="7" spans="1:8">
      <c r="A7" s="334" t="s">
        <v>1460</v>
      </c>
      <c r="B7" s="337">
        <v>1231.788</v>
      </c>
      <c r="C7" s="337">
        <v>0.51418902708678826</v>
      </c>
      <c r="D7" s="337">
        <v>27.69035675274095</v>
      </c>
      <c r="E7" s="337">
        <v>1.0533064026781171</v>
      </c>
      <c r="F7" s="337">
        <v>1.3623957717642872</v>
      </c>
      <c r="G7" s="337">
        <v>8.7446379462236514</v>
      </c>
      <c r="H7" s="337">
        <v>1271.1528859004936</v>
      </c>
    </row>
    <row r="8" spans="1:8">
      <c r="A8" s="333" t="s">
        <v>1498</v>
      </c>
      <c r="B8" s="337">
        <v>24.71396223</v>
      </c>
      <c r="C8" s="337">
        <v>0</v>
      </c>
      <c r="D8" s="337">
        <v>1.8502585801598496E-4</v>
      </c>
      <c r="E8" s="337">
        <v>1.3393230462916874E-3</v>
      </c>
      <c r="F8" s="337">
        <v>16.241372387395408</v>
      </c>
      <c r="G8" s="337">
        <v>5.1410337002816961E-3</v>
      </c>
      <c r="H8" s="337">
        <v>40.962000000000003</v>
      </c>
    </row>
    <row r="9" spans="1:8">
      <c r="A9" s="334" t="s">
        <v>1499</v>
      </c>
      <c r="B9" s="337">
        <v>1685.519198259999</v>
      </c>
      <c r="C9" s="337">
        <v>3.5776764326515571E-3</v>
      </c>
      <c r="D9" s="337">
        <v>6.1844311236483297E-2</v>
      </c>
      <c r="E9" s="337">
        <v>0.58399999999999996</v>
      </c>
      <c r="F9" s="337">
        <v>0.78800000000000003</v>
      </c>
      <c r="G9" s="337">
        <v>7.7379752331900323E-2</v>
      </c>
      <c r="H9" s="337">
        <v>1687.0340000000001</v>
      </c>
    </row>
    <row r="10" spans="1:8">
      <c r="A10" s="333" t="s">
        <v>1500</v>
      </c>
      <c r="B10" s="337">
        <v>2.548</v>
      </c>
      <c r="C10" s="337">
        <v>1.0134512622074812E-2</v>
      </c>
      <c r="D10" s="337">
        <v>0.60090740901269601</v>
      </c>
      <c r="E10" s="337">
        <v>5.6380901328636525E-2</v>
      </c>
      <c r="F10" s="337">
        <v>1.0592843154708921E-4</v>
      </c>
      <c r="G10" s="337">
        <v>0.33547124860504585</v>
      </c>
      <c r="H10" s="337">
        <v>3.5510000000000002</v>
      </c>
    </row>
    <row r="11" spans="1:8" ht="13.8" thickBot="1">
      <c r="A11" s="335" t="s">
        <v>1501</v>
      </c>
      <c r="B11" s="339">
        <v>0.11</v>
      </c>
      <c r="C11" s="339">
        <v>0</v>
      </c>
      <c r="D11" s="339">
        <v>0</v>
      </c>
      <c r="E11" s="339">
        <v>0</v>
      </c>
      <c r="F11" s="339">
        <v>2.1363717286807904</v>
      </c>
      <c r="G11" s="339">
        <v>1.8474111129762604E-16</v>
      </c>
      <c r="H11" s="339">
        <v>2.246</v>
      </c>
    </row>
    <row r="12" spans="1:8" ht="13.8" thickBot="1">
      <c r="A12" s="335" t="s">
        <v>1502</v>
      </c>
      <c r="B12" s="339">
        <v>2944.6791604899986</v>
      </c>
      <c r="C12" s="339">
        <v>0.52790121614151464</v>
      </c>
      <c r="D12" s="339">
        <v>28.353293498848146</v>
      </c>
      <c r="E12" s="339">
        <v>1.6950266270530454</v>
      </c>
      <c r="F12" s="339">
        <v>20.528245816272037</v>
      </c>
      <c r="G12" s="339">
        <v>9.1626299808608795</v>
      </c>
      <c r="H12" s="339">
        <v>3004.9458859004935</v>
      </c>
    </row>
    <row r="13" spans="1:8">
      <c r="A13" s="334"/>
      <c r="B13" s="340">
        <v>0</v>
      </c>
      <c r="C13" s="340">
        <v>0</v>
      </c>
      <c r="D13" s="341">
        <v>0</v>
      </c>
      <c r="E13" s="340">
        <v>0</v>
      </c>
      <c r="F13" s="340">
        <v>0</v>
      </c>
      <c r="G13" s="340">
        <v>0</v>
      </c>
      <c r="H13" s="340">
        <v>0</v>
      </c>
    </row>
    <row r="14" spans="1:8">
      <c r="A14" s="334" t="s">
        <v>1503</v>
      </c>
      <c r="B14" s="337">
        <v>0</v>
      </c>
      <c r="C14" s="337">
        <v>0</v>
      </c>
      <c r="D14" s="338">
        <v>0</v>
      </c>
      <c r="E14" s="337">
        <v>0</v>
      </c>
      <c r="F14" s="337">
        <v>0</v>
      </c>
      <c r="G14" s="337">
        <v>0</v>
      </c>
      <c r="H14" s="337">
        <v>0</v>
      </c>
    </row>
    <row r="15" spans="1:8">
      <c r="A15" s="334" t="s">
        <v>1504</v>
      </c>
      <c r="B15" s="337">
        <v>2655.3310000000001</v>
      </c>
      <c r="C15" s="337">
        <v>4.5383216417910441</v>
      </c>
      <c r="D15" s="337">
        <v>27.137949659144333</v>
      </c>
      <c r="E15" s="337">
        <v>8.13862319370525</v>
      </c>
      <c r="F15" s="337">
        <v>20.355509346626313</v>
      </c>
      <c r="G15" s="337">
        <v>11.060900188732528</v>
      </c>
      <c r="H15" s="337">
        <v>2726.5623040299997</v>
      </c>
    </row>
    <row r="16" spans="1:8">
      <c r="A16" s="334" t="s">
        <v>1505</v>
      </c>
      <c r="B16" s="337">
        <v>5.0000000000000001E-3</v>
      </c>
      <c r="C16" s="337">
        <v>0</v>
      </c>
      <c r="D16" s="337">
        <v>0</v>
      </c>
      <c r="E16" s="337">
        <v>1E-3</v>
      </c>
      <c r="F16" s="337">
        <v>1E-3</v>
      </c>
      <c r="G16" s="337">
        <v>1E-3</v>
      </c>
      <c r="H16" s="337">
        <v>8.0000000000000002E-3</v>
      </c>
    </row>
    <row r="17" spans="1:8">
      <c r="A17" s="334" t="s">
        <v>1506</v>
      </c>
      <c r="B17" s="337">
        <v>17.11</v>
      </c>
      <c r="C17" s="337">
        <v>6.2E-2</v>
      </c>
      <c r="D17" s="337">
        <v>1.2010000000000001</v>
      </c>
      <c r="E17" s="337">
        <v>0.34499999999999997</v>
      </c>
      <c r="F17" s="337">
        <v>0.245</v>
      </c>
      <c r="G17" s="337">
        <v>1.8257174866408699</v>
      </c>
      <c r="H17" s="337">
        <v>20.78871748664087</v>
      </c>
    </row>
    <row r="18" spans="1:8" ht="13.8" thickBot="1">
      <c r="A18" s="335" t="s">
        <v>1507</v>
      </c>
      <c r="B18" s="339">
        <v>75</v>
      </c>
      <c r="C18" s="339">
        <v>0</v>
      </c>
      <c r="D18" s="339">
        <v>0</v>
      </c>
      <c r="E18" s="339">
        <v>0</v>
      </c>
      <c r="F18" s="339">
        <v>0</v>
      </c>
      <c r="G18" s="339">
        <v>0</v>
      </c>
      <c r="H18" s="339">
        <v>75</v>
      </c>
    </row>
    <row r="19" spans="1:8" ht="13.8" thickBot="1">
      <c r="A19" s="335" t="s">
        <v>1508</v>
      </c>
      <c r="B19" s="339">
        <v>2747.4459999999999</v>
      </c>
      <c r="C19" s="339">
        <v>4.6003216417910444</v>
      </c>
      <c r="D19" s="339">
        <v>28.33894965914433</v>
      </c>
      <c r="E19" s="339">
        <v>8.4846231937052501</v>
      </c>
      <c r="F19" s="339">
        <v>20.601509346626312</v>
      </c>
      <c r="G19" s="339">
        <v>12.887617675373399</v>
      </c>
      <c r="H19" s="339">
        <v>2822.3590215166405</v>
      </c>
    </row>
    <row r="20" spans="1:8">
      <c r="A20" s="334"/>
      <c r="B20" s="340">
        <v>0</v>
      </c>
      <c r="C20" s="340">
        <v>0</v>
      </c>
      <c r="D20" s="341">
        <v>0</v>
      </c>
      <c r="E20" s="340">
        <v>0</v>
      </c>
      <c r="F20" s="340">
        <v>0</v>
      </c>
      <c r="G20" s="340">
        <v>0</v>
      </c>
      <c r="H20" s="340">
        <v>0</v>
      </c>
    </row>
    <row r="21" spans="1:8">
      <c r="A21" s="334" t="s">
        <v>1509</v>
      </c>
      <c r="B21" s="340">
        <v>0.61499999999999999</v>
      </c>
      <c r="C21" s="340">
        <v>4.0540000000000003</v>
      </c>
      <c r="D21" s="340">
        <v>0</v>
      </c>
      <c r="E21" s="340">
        <v>6.8159999999999998</v>
      </c>
      <c r="F21" s="340">
        <v>0.71299999999999997</v>
      </c>
      <c r="G21" s="340">
        <v>3.359</v>
      </c>
      <c r="H21" s="337">
        <v>15.557</v>
      </c>
    </row>
    <row r="22" spans="1:8" ht="13.8" thickBot="1">
      <c r="A22" s="334" t="s">
        <v>1510</v>
      </c>
      <c r="B22" s="340">
        <v>14.942</v>
      </c>
      <c r="C22" s="340">
        <v>0</v>
      </c>
      <c r="D22" s="340">
        <v>0</v>
      </c>
      <c r="E22" s="340">
        <v>0</v>
      </c>
      <c r="F22" s="340">
        <v>0.61499999999999999</v>
      </c>
      <c r="G22" s="340">
        <v>0</v>
      </c>
      <c r="H22" s="339">
        <v>15.557</v>
      </c>
    </row>
    <row r="23" spans="1:8" ht="13.8" thickBot="1">
      <c r="A23" s="336" t="s">
        <v>1511</v>
      </c>
      <c r="B23" s="342">
        <v>182.90616048999877</v>
      </c>
      <c r="C23" s="342">
        <v>-1.8420425649529535E-2</v>
      </c>
      <c r="D23" s="342">
        <v>1.4343839703815319E-2</v>
      </c>
      <c r="E23" s="342">
        <v>2.6403433347794818E-2</v>
      </c>
      <c r="F23" s="342">
        <v>2.4736469645722535E-2</v>
      </c>
      <c r="G23" s="342">
        <v>-0.36598769451251789</v>
      </c>
      <c r="H23" s="342">
        <v>182.58686438385305</v>
      </c>
    </row>
    <row r="26" spans="1:8" ht="13.8" thickBot="1"/>
    <row r="27" spans="1:8" ht="13.8" thickBot="1">
      <c r="A27" s="329" t="s">
        <v>1496</v>
      </c>
      <c r="B27" s="330" t="s">
        <v>642</v>
      </c>
      <c r="C27" s="330" t="s">
        <v>1491</v>
      </c>
      <c r="D27" s="331" t="s">
        <v>1492</v>
      </c>
      <c r="E27" s="330" t="s">
        <v>641</v>
      </c>
      <c r="F27" s="330" t="s">
        <v>644</v>
      </c>
      <c r="G27" s="330" t="s">
        <v>1493</v>
      </c>
      <c r="H27" s="332" t="s">
        <v>1494</v>
      </c>
    </row>
    <row r="28" spans="1:8">
      <c r="A28" s="333" t="s">
        <v>1497</v>
      </c>
      <c r="B28" s="337"/>
      <c r="C28" s="337"/>
      <c r="D28" s="338"/>
      <c r="E28" s="337"/>
      <c r="F28" s="337"/>
      <c r="G28" s="337"/>
      <c r="H28" s="337"/>
    </row>
    <row r="29" spans="1:8">
      <c r="A29" s="334" t="s">
        <v>1460</v>
      </c>
      <c r="B29" s="337">
        <v>651.17499999999995</v>
      </c>
      <c r="C29" s="337">
        <v>2.2235247848078794</v>
      </c>
      <c r="D29" s="337">
        <v>18.319246699384031</v>
      </c>
      <c r="E29" s="337">
        <v>2.536437653372368</v>
      </c>
      <c r="F29" s="337">
        <v>1.4302384279475981</v>
      </c>
      <c r="G29" s="337">
        <v>6.9731955549818743</v>
      </c>
      <c r="H29" s="337">
        <v>682.65764312049384</v>
      </c>
    </row>
    <row r="30" spans="1:8">
      <c r="A30" s="333" t="s">
        <v>1498</v>
      </c>
      <c r="B30" s="337">
        <v>22.74969815</v>
      </c>
      <c r="C30" s="337">
        <v>0</v>
      </c>
      <c r="D30" s="337">
        <v>1.1736525773311126</v>
      </c>
      <c r="E30" s="337">
        <v>5.3202110231306322E-4</v>
      </c>
      <c r="F30" s="337">
        <v>23.229623310043671</v>
      </c>
      <c r="G30" s="337">
        <v>4.9394152290369671E-4</v>
      </c>
      <c r="H30" s="337">
        <v>47.154000000000003</v>
      </c>
    </row>
    <row r="31" spans="1:8">
      <c r="A31" s="334" t="s">
        <v>1499</v>
      </c>
      <c r="B31" s="337">
        <v>902.84306505999996</v>
      </c>
      <c r="C31" s="337">
        <v>2.1705563936462862E-5</v>
      </c>
      <c r="D31" s="337">
        <v>14.706606754384985</v>
      </c>
      <c r="E31" s="337">
        <v>0.22</v>
      </c>
      <c r="F31" s="337">
        <v>0.95699999999999996</v>
      </c>
      <c r="G31" s="337">
        <v>3.4306480051193307E-2</v>
      </c>
      <c r="H31" s="337">
        <v>918.76099999999997</v>
      </c>
    </row>
    <row r="32" spans="1:8">
      <c r="A32" s="333" t="s">
        <v>1500</v>
      </c>
      <c r="B32" s="337">
        <v>2.802</v>
      </c>
      <c r="C32" s="337">
        <v>0</v>
      </c>
      <c r="D32" s="337">
        <v>0.37449833991034398</v>
      </c>
      <c r="E32" s="337">
        <v>4.1736552638764288E-2</v>
      </c>
      <c r="F32" s="337">
        <v>2.497816593886463E-4</v>
      </c>
      <c r="G32" s="337">
        <v>0.50251532579150304</v>
      </c>
      <c r="H32" s="337">
        <v>3.7210000000000001</v>
      </c>
    </row>
    <row r="33" spans="1:8" ht="13.8" thickBot="1">
      <c r="A33" s="335" t="s">
        <v>1501</v>
      </c>
      <c r="B33" s="339">
        <v>0.84</v>
      </c>
      <c r="C33" s="339">
        <v>0</v>
      </c>
      <c r="D33" s="339">
        <v>0</v>
      </c>
      <c r="E33" s="339">
        <v>0</v>
      </c>
      <c r="F33" s="339">
        <v>2.0960698689956332</v>
      </c>
      <c r="G33" s="339">
        <v>-1.1368683772161603E-16</v>
      </c>
      <c r="H33" s="339">
        <v>2.9359999999999999</v>
      </c>
    </row>
    <row r="34" spans="1:8" ht="13.8" thickBot="1">
      <c r="A34" s="335" t="s">
        <v>1502</v>
      </c>
      <c r="B34" s="339">
        <v>1580.4097632099999</v>
      </c>
      <c r="C34" s="339">
        <v>2.2235464903718158</v>
      </c>
      <c r="D34" s="339">
        <v>34.574004371010474</v>
      </c>
      <c r="E34" s="339">
        <v>2.7987062271134455</v>
      </c>
      <c r="F34" s="339">
        <v>27.713181388646291</v>
      </c>
      <c r="G34" s="339">
        <v>7.5105113023474734</v>
      </c>
      <c r="H34" s="339">
        <v>1655.2296431204938</v>
      </c>
    </row>
    <row r="35" spans="1:8">
      <c r="A35" s="334"/>
      <c r="B35" s="340">
        <v>0</v>
      </c>
      <c r="C35" s="340">
        <v>0</v>
      </c>
      <c r="D35" s="341">
        <v>0</v>
      </c>
      <c r="E35" s="340">
        <v>0</v>
      </c>
      <c r="F35" s="340">
        <v>0</v>
      </c>
      <c r="G35" s="340">
        <v>0</v>
      </c>
      <c r="H35" s="340">
        <v>0</v>
      </c>
    </row>
    <row r="36" spans="1:8">
      <c r="A36" s="334" t="s">
        <v>1503</v>
      </c>
      <c r="B36" s="337">
        <v>0</v>
      </c>
      <c r="C36" s="337">
        <v>0</v>
      </c>
      <c r="D36" s="338">
        <v>0</v>
      </c>
      <c r="E36" s="337">
        <v>0</v>
      </c>
      <c r="F36" s="337">
        <v>0</v>
      </c>
      <c r="G36" s="337">
        <v>0</v>
      </c>
      <c r="H36" s="337">
        <v>0</v>
      </c>
    </row>
    <row r="37" spans="1:8">
      <c r="A37" s="334" t="s">
        <v>1504</v>
      </c>
      <c r="B37" s="337">
        <v>1356.671</v>
      </c>
      <c r="C37" s="337">
        <v>2.1939198864140561</v>
      </c>
      <c r="D37" s="337">
        <v>41.600194146646842</v>
      </c>
      <c r="E37" s="337">
        <v>6.363306973319812</v>
      </c>
      <c r="F37" s="337">
        <v>29.296642340611353</v>
      </c>
      <c r="G37" s="337">
        <v>7.65672483300804</v>
      </c>
      <c r="H37" s="337">
        <v>1443.7817881800001</v>
      </c>
    </row>
    <row r="38" spans="1:8">
      <c r="A38" s="334" t="s">
        <v>1505</v>
      </c>
      <c r="B38" s="337">
        <v>0</v>
      </c>
      <c r="C38" s="337">
        <v>0</v>
      </c>
      <c r="D38" s="337">
        <v>0</v>
      </c>
      <c r="E38" s="337">
        <v>0</v>
      </c>
      <c r="F38" s="337">
        <v>3.0000000000000001E-3</v>
      </c>
      <c r="G38" s="337">
        <v>8.0000000000000002E-3</v>
      </c>
      <c r="H38" s="337">
        <v>1.0999999999999999E-2</v>
      </c>
    </row>
    <row r="39" spans="1:8">
      <c r="A39" s="334" t="s">
        <v>1506</v>
      </c>
      <c r="B39" s="337">
        <v>15.298999999999999</v>
      </c>
      <c r="C39" s="337">
        <v>0.05</v>
      </c>
      <c r="D39" s="337">
        <v>2.238</v>
      </c>
      <c r="E39" s="337">
        <v>0.41</v>
      </c>
      <c r="F39" s="337">
        <v>0.12</v>
      </c>
      <c r="G39" s="337">
        <v>3.3114186618156003</v>
      </c>
      <c r="H39" s="337">
        <v>21.428418661815602</v>
      </c>
    </row>
    <row r="40" spans="1:8" ht="13.8" thickBot="1">
      <c r="A40" s="335" t="s">
        <v>1507</v>
      </c>
      <c r="B40" s="339">
        <v>50.9</v>
      </c>
      <c r="C40" s="339">
        <v>0</v>
      </c>
      <c r="D40" s="339">
        <v>0</v>
      </c>
      <c r="E40" s="339">
        <v>0</v>
      </c>
      <c r="F40" s="339">
        <v>0</v>
      </c>
      <c r="G40" s="339">
        <v>0</v>
      </c>
      <c r="H40" s="339">
        <v>50.9</v>
      </c>
    </row>
    <row r="41" spans="1:8" ht="13.8" thickBot="1">
      <c r="A41" s="335" t="s">
        <v>1508</v>
      </c>
      <c r="B41" s="339">
        <v>1422.87</v>
      </c>
      <c r="C41" s="339">
        <v>2.2439198864140564</v>
      </c>
      <c r="D41" s="339">
        <v>43.838194146646842</v>
      </c>
      <c r="E41" s="339">
        <v>6.7733069733198121</v>
      </c>
      <c r="F41" s="339">
        <v>29.419642340611354</v>
      </c>
      <c r="G41" s="339">
        <v>10.97614349482364</v>
      </c>
      <c r="H41" s="339">
        <v>1516.1212068418158</v>
      </c>
    </row>
    <row r="42" spans="1:8">
      <c r="A42" s="334"/>
      <c r="B42" s="340">
        <v>0</v>
      </c>
      <c r="C42" s="340">
        <v>0</v>
      </c>
      <c r="D42" s="341">
        <v>0</v>
      </c>
      <c r="E42" s="340">
        <v>0</v>
      </c>
      <c r="F42" s="340">
        <v>0</v>
      </c>
      <c r="G42" s="340">
        <v>0</v>
      </c>
      <c r="H42" s="340">
        <v>0</v>
      </c>
    </row>
    <row r="43" spans="1:8">
      <c r="A43" s="334" t="s">
        <v>1509</v>
      </c>
      <c r="B43" s="340">
        <v>0.61</v>
      </c>
      <c r="C43" s="340">
        <v>0</v>
      </c>
      <c r="D43" s="340">
        <v>9.1660000000000004</v>
      </c>
      <c r="E43" s="340">
        <v>3.9729999999999999</v>
      </c>
      <c r="F43" s="340">
        <v>2.1859999999999999</v>
      </c>
      <c r="G43" s="340">
        <v>3.234</v>
      </c>
      <c r="H43" s="337">
        <v>19.169</v>
      </c>
    </row>
    <row r="44" spans="1:8" ht="13.8" thickBot="1">
      <c r="A44" s="334" t="s">
        <v>1510</v>
      </c>
      <c r="B44" s="340">
        <v>18.559000000000001</v>
      </c>
      <c r="C44" s="340">
        <v>0</v>
      </c>
      <c r="D44" s="340">
        <v>0</v>
      </c>
      <c r="E44" s="340">
        <v>0</v>
      </c>
      <c r="F44" s="340">
        <v>0.61</v>
      </c>
      <c r="G44" s="340">
        <v>0</v>
      </c>
      <c r="H44" s="339">
        <v>19.169</v>
      </c>
    </row>
    <row r="45" spans="1:8" ht="13.8" thickBot="1">
      <c r="A45" s="336" t="s">
        <v>1511</v>
      </c>
      <c r="B45" s="342">
        <v>139.59076321000001</v>
      </c>
      <c r="C45" s="342">
        <v>-2.0373396042240529E-2</v>
      </c>
      <c r="D45" s="342">
        <v>-9.8189775636368729E-2</v>
      </c>
      <c r="E45" s="342">
        <v>-1.6007462063662387E-3</v>
      </c>
      <c r="F45" s="342">
        <v>-0.13046095196506213</v>
      </c>
      <c r="G45" s="342">
        <v>-0.2316321924761669</v>
      </c>
      <c r="H45" s="342">
        <v>139.108436278678</v>
      </c>
    </row>
  </sheetData>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workbookViewId="0">
      <selection activeCell="K19" sqref="K19"/>
    </sheetView>
  </sheetViews>
  <sheetFormatPr defaultColWidth="9.109375" defaultRowHeight="13.2"/>
  <cols>
    <col min="1" max="1" width="50.88671875" style="10" bestFit="1" customWidth="1"/>
    <col min="2" max="7" width="13.6640625" style="10" customWidth="1"/>
    <col min="8" max="16384" width="9.109375" style="10"/>
  </cols>
  <sheetData>
    <row r="1" spans="1:7" ht="26.4">
      <c r="A1" s="98" t="s">
        <v>788</v>
      </c>
    </row>
    <row r="2" spans="1:7">
      <c r="A2" s="19"/>
    </row>
    <row r="3" spans="1:7">
      <c r="A3" s="19"/>
    </row>
    <row r="4" spans="1:7">
      <c r="A4" s="19"/>
    </row>
    <row r="5" spans="1:7">
      <c r="A5" s="12" t="s">
        <v>220</v>
      </c>
      <c r="B5" s="216" t="s">
        <v>230</v>
      </c>
      <c r="C5" s="216" t="s">
        <v>1457</v>
      </c>
      <c r="D5" s="216" t="s">
        <v>787</v>
      </c>
      <c r="E5" s="216" t="s">
        <v>1458</v>
      </c>
      <c r="F5" s="216" t="s">
        <v>1459</v>
      </c>
      <c r="G5" s="216" t="s">
        <v>209</v>
      </c>
    </row>
    <row r="6" spans="1:7">
      <c r="A6" s="10" t="s">
        <v>1460</v>
      </c>
      <c r="B6" s="43">
        <v>1271.153</v>
      </c>
      <c r="C6" s="43" t="s">
        <v>154</v>
      </c>
      <c r="D6" s="43" t="s">
        <v>154</v>
      </c>
      <c r="E6" s="43" t="s">
        <v>154</v>
      </c>
      <c r="F6" s="43" t="s">
        <v>154</v>
      </c>
      <c r="G6" s="43">
        <v>1271.153</v>
      </c>
    </row>
    <row r="7" spans="1:7">
      <c r="A7" s="10" t="s">
        <v>1461</v>
      </c>
      <c r="B7" s="43" t="s">
        <v>154</v>
      </c>
      <c r="C7" s="43">
        <v>10.882999999999999</v>
      </c>
      <c r="D7" s="43">
        <v>13.018000000000001</v>
      </c>
      <c r="E7" s="43">
        <v>8.4290000000000003</v>
      </c>
      <c r="F7" s="43" t="s">
        <v>154</v>
      </c>
      <c r="G7" s="43">
        <v>32.33</v>
      </c>
    </row>
    <row r="8" spans="1:7">
      <c r="A8" s="10" t="s">
        <v>1462</v>
      </c>
      <c r="B8" s="43" t="s">
        <v>154</v>
      </c>
      <c r="C8" s="43">
        <v>113.59</v>
      </c>
      <c r="D8" s="43">
        <v>251.80600000000001</v>
      </c>
      <c r="E8" s="43">
        <v>1029.52</v>
      </c>
      <c r="F8" s="43">
        <v>582.88900000000001</v>
      </c>
      <c r="G8" s="43">
        <v>1977.8050000000001</v>
      </c>
    </row>
    <row r="9" spans="1:7">
      <c r="A9" s="10" t="s">
        <v>1463</v>
      </c>
      <c r="B9" s="43" t="s">
        <v>154</v>
      </c>
      <c r="C9" s="43">
        <v>3.5510000000000002</v>
      </c>
      <c r="D9" s="43" t="s">
        <v>154</v>
      </c>
      <c r="E9" s="43" t="s">
        <v>154</v>
      </c>
      <c r="F9" s="43" t="s">
        <v>154</v>
      </c>
      <c r="G9" s="43">
        <v>3.5510000000000002</v>
      </c>
    </row>
    <row r="10" spans="1:7">
      <c r="A10" s="10" t="s">
        <v>1464</v>
      </c>
      <c r="B10" s="43">
        <v>2.246</v>
      </c>
      <c r="C10" s="43" t="s">
        <v>154</v>
      </c>
      <c r="D10" s="43" t="s">
        <v>154</v>
      </c>
      <c r="E10" s="43" t="s">
        <v>154</v>
      </c>
      <c r="F10" s="43" t="s">
        <v>154</v>
      </c>
      <c r="G10" s="43">
        <v>2.246</v>
      </c>
    </row>
    <row r="11" spans="1:7">
      <c r="A11" s="10" t="s">
        <v>1465</v>
      </c>
      <c r="B11" s="43" t="s">
        <v>154</v>
      </c>
      <c r="C11" s="43">
        <v>14.942</v>
      </c>
      <c r="D11" s="43" t="s">
        <v>154</v>
      </c>
      <c r="E11" s="43">
        <v>0.61499999999999999</v>
      </c>
      <c r="F11" s="43" t="s">
        <v>154</v>
      </c>
      <c r="G11" s="43">
        <v>15.557</v>
      </c>
    </row>
    <row r="12" spans="1:7">
      <c r="A12" s="10" t="s">
        <v>783</v>
      </c>
      <c r="B12" s="43">
        <v>1273.3989999999999</v>
      </c>
      <c r="C12" s="43">
        <v>142.96600000000001</v>
      </c>
      <c r="D12" s="43">
        <v>264.82400000000001</v>
      </c>
      <c r="E12" s="43">
        <v>1038.5640000000001</v>
      </c>
      <c r="F12" s="43">
        <v>582.88900000000001</v>
      </c>
      <c r="G12" s="43">
        <v>3302.6419999999998</v>
      </c>
    </row>
    <row r="13" spans="1:7">
      <c r="B13" s="43" t="s">
        <v>154</v>
      </c>
      <c r="C13" s="43" t="s">
        <v>154</v>
      </c>
      <c r="D13" s="43" t="s">
        <v>154</v>
      </c>
      <c r="E13" s="43" t="s">
        <v>154</v>
      </c>
      <c r="F13" s="43" t="s">
        <v>154</v>
      </c>
      <c r="G13" s="43" t="s">
        <v>154</v>
      </c>
    </row>
    <row r="14" spans="1:7">
      <c r="A14" s="10" t="s">
        <v>1466</v>
      </c>
      <c r="B14" s="43">
        <v>2189.665</v>
      </c>
      <c r="C14" s="43">
        <v>41.521999999999998</v>
      </c>
      <c r="D14" s="43">
        <v>476.24799999999999</v>
      </c>
      <c r="E14" s="43">
        <v>18.721</v>
      </c>
      <c r="F14" s="43">
        <v>2.9060000000000001</v>
      </c>
      <c r="G14" s="43">
        <v>2729.0619999999999</v>
      </c>
    </row>
    <row r="15" spans="1:7">
      <c r="A15" s="10" t="s">
        <v>1467</v>
      </c>
      <c r="B15" s="43" t="s">
        <v>154</v>
      </c>
      <c r="C15" s="43">
        <v>1.244</v>
      </c>
      <c r="D15" s="43">
        <v>3.7309999999999999</v>
      </c>
      <c r="E15" s="43">
        <v>19.5</v>
      </c>
      <c r="F15" s="43">
        <v>85.575000000000003</v>
      </c>
      <c r="G15" s="43">
        <v>110.05</v>
      </c>
    </row>
    <row r="16" spans="1:7">
      <c r="A16" s="10" t="s">
        <v>1468</v>
      </c>
      <c r="B16" s="43" t="s">
        <v>154</v>
      </c>
      <c r="C16" s="43">
        <v>20.789000000000001</v>
      </c>
      <c r="D16" s="43" t="s">
        <v>154</v>
      </c>
      <c r="E16" s="43" t="s">
        <v>154</v>
      </c>
      <c r="F16" s="43" t="s">
        <v>154</v>
      </c>
      <c r="G16" s="43">
        <v>20.789000000000001</v>
      </c>
    </row>
    <row r="17" spans="1:7">
      <c r="A17" s="10" t="s">
        <v>1469</v>
      </c>
      <c r="B17" s="43" t="s">
        <v>154</v>
      </c>
      <c r="C17" s="43">
        <v>359.23</v>
      </c>
      <c r="D17" s="43" t="s">
        <v>154</v>
      </c>
      <c r="E17" s="43" t="s">
        <v>154</v>
      </c>
      <c r="F17" s="43" t="s">
        <v>154</v>
      </c>
      <c r="G17" s="43">
        <v>359.23</v>
      </c>
    </row>
    <row r="18" spans="1:7">
      <c r="A18" s="10" t="s">
        <v>1470</v>
      </c>
      <c r="B18" s="43" t="s">
        <v>154</v>
      </c>
      <c r="C18" s="43">
        <v>14.138999999999999</v>
      </c>
      <c r="D18" s="43" t="s">
        <v>154</v>
      </c>
      <c r="E18" s="43" t="s">
        <v>154</v>
      </c>
      <c r="F18" s="43" t="s">
        <v>154</v>
      </c>
      <c r="G18" s="43">
        <v>14.138999999999999</v>
      </c>
    </row>
    <row r="19" spans="1:7">
      <c r="A19" s="10" t="s">
        <v>1465</v>
      </c>
      <c r="B19" s="43" t="s">
        <v>154</v>
      </c>
      <c r="C19" s="43">
        <v>14.942</v>
      </c>
      <c r="D19" s="43" t="s">
        <v>154</v>
      </c>
      <c r="E19" s="43">
        <v>0.61499999999999999</v>
      </c>
      <c r="F19" s="43" t="s">
        <v>154</v>
      </c>
      <c r="G19" s="43">
        <v>15.557</v>
      </c>
    </row>
    <row r="20" spans="1:7">
      <c r="A20" s="10" t="s">
        <v>1471</v>
      </c>
      <c r="B20" s="43" t="s">
        <v>154</v>
      </c>
      <c r="C20" s="43">
        <v>8.0000000000000002E-3</v>
      </c>
      <c r="D20" s="43" t="s">
        <v>154</v>
      </c>
      <c r="E20" s="43" t="s">
        <v>154</v>
      </c>
      <c r="F20" s="43" t="s">
        <v>154</v>
      </c>
      <c r="G20" s="43">
        <v>8.0000000000000002E-3</v>
      </c>
    </row>
    <row r="21" spans="1:7">
      <c r="A21" s="10" t="s">
        <v>830</v>
      </c>
      <c r="B21" s="43">
        <v>2189.665</v>
      </c>
      <c r="C21" s="43">
        <v>451.87400000000002</v>
      </c>
      <c r="D21" s="43">
        <v>479.97899999999998</v>
      </c>
      <c r="E21" s="43">
        <v>38.835999999999999</v>
      </c>
      <c r="F21" s="43">
        <v>88.480999999999995</v>
      </c>
      <c r="G21" s="43">
        <v>3248.835</v>
      </c>
    </row>
    <row r="22" spans="1:7">
      <c r="B22" s="43"/>
      <c r="C22" s="43"/>
      <c r="D22" s="43"/>
      <c r="E22" s="43"/>
      <c r="F22" s="43"/>
      <c r="G22" s="43"/>
    </row>
    <row r="23" spans="1:7">
      <c r="B23" s="43"/>
      <c r="C23" s="43"/>
      <c r="D23" s="43"/>
      <c r="E23" s="43"/>
      <c r="F23" s="43"/>
      <c r="G23" s="43"/>
    </row>
    <row r="24" spans="1:7">
      <c r="A24" s="12" t="s">
        <v>224</v>
      </c>
      <c r="B24" s="216" t="s">
        <v>230</v>
      </c>
      <c r="C24" s="216" t="s">
        <v>1457</v>
      </c>
      <c r="D24" s="216" t="s">
        <v>787</v>
      </c>
      <c r="E24" s="216" t="s">
        <v>1458</v>
      </c>
      <c r="F24" s="216" t="s">
        <v>1459</v>
      </c>
      <c r="G24" s="216" t="s">
        <v>209</v>
      </c>
    </row>
    <row r="25" spans="1:7">
      <c r="A25" s="10" t="s">
        <v>1460</v>
      </c>
      <c r="B25" s="43">
        <v>682.65800000000002</v>
      </c>
      <c r="C25" s="43" t="s">
        <v>154</v>
      </c>
      <c r="D25" s="43" t="s">
        <v>154</v>
      </c>
      <c r="E25" s="43" t="s">
        <v>154</v>
      </c>
      <c r="F25" s="43" t="s">
        <v>154</v>
      </c>
      <c r="G25" s="43">
        <v>682.65800000000002</v>
      </c>
    </row>
    <row r="26" spans="1:7">
      <c r="A26" s="10" t="s">
        <v>1461</v>
      </c>
      <c r="B26" s="43" t="s">
        <v>154</v>
      </c>
      <c r="C26" s="43">
        <v>20.69</v>
      </c>
      <c r="D26" s="43" t="s">
        <v>154</v>
      </c>
      <c r="E26" s="43">
        <v>15.845000000000001</v>
      </c>
      <c r="F26" s="43">
        <v>2.161</v>
      </c>
      <c r="G26" s="43">
        <v>38.695999999999998</v>
      </c>
    </row>
    <row r="27" spans="1:7">
      <c r="A27" s="10" t="s">
        <v>1462</v>
      </c>
      <c r="B27" s="43" t="s">
        <v>154</v>
      </c>
      <c r="C27" s="43">
        <v>63.584000000000003</v>
      </c>
      <c r="D27" s="43">
        <v>198.29300000000001</v>
      </c>
      <c r="E27" s="43">
        <v>634.077</v>
      </c>
      <c r="F27" s="43">
        <v>154.85300000000001</v>
      </c>
      <c r="G27" s="43">
        <v>1050.807</v>
      </c>
    </row>
    <row r="28" spans="1:7">
      <c r="A28" s="10" t="s">
        <v>1463</v>
      </c>
      <c r="B28" s="43" t="s">
        <v>154</v>
      </c>
      <c r="C28" s="43">
        <v>3.7210000000000001</v>
      </c>
      <c r="D28" s="43" t="s">
        <v>154</v>
      </c>
      <c r="E28" s="43" t="s">
        <v>154</v>
      </c>
      <c r="F28" s="43" t="s">
        <v>154</v>
      </c>
      <c r="G28" s="43">
        <v>3.7210000000000001</v>
      </c>
    </row>
    <row r="29" spans="1:7">
      <c r="A29" s="10" t="s">
        <v>1464</v>
      </c>
      <c r="B29" s="43">
        <v>2.9359999999999999</v>
      </c>
      <c r="C29" s="43" t="s">
        <v>154</v>
      </c>
      <c r="D29" s="43" t="s">
        <v>154</v>
      </c>
      <c r="E29" s="43" t="s">
        <v>154</v>
      </c>
      <c r="F29" s="43" t="s">
        <v>154</v>
      </c>
      <c r="G29" s="43">
        <v>2.9359999999999999</v>
      </c>
    </row>
    <row r="30" spans="1:7">
      <c r="A30" s="10" t="s">
        <v>1465</v>
      </c>
      <c r="B30" s="43" t="s">
        <v>154</v>
      </c>
      <c r="C30" s="43">
        <v>18.559000000000001</v>
      </c>
      <c r="D30" s="43" t="s">
        <v>154</v>
      </c>
      <c r="E30" s="43">
        <v>0.61</v>
      </c>
      <c r="F30" s="43" t="s">
        <v>154</v>
      </c>
      <c r="G30" s="43">
        <v>19.169</v>
      </c>
    </row>
    <row r="31" spans="1:7">
      <c r="A31" s="10" t="s">
        <v>783</v>
      </c>
      <c r="B31" s="43">
        <v>685.59400000000005</v>
      </c>
      <c r="C31" s="43">
        <v>106.554</v>
      </c>
      <c r="D31" s="43">
        <v>198.29300000000001</v>
      </c>
      <c r="E31" s="43">
        <v>650.53200000000004</v>
      </c>
      <c r="F31" s="43">
        <v>157.01400000000001</v>
      </c>
      <c r="G31" s="43">
        <v>1797.9870000000001</v>
      </c>
    </row>
    <row r="32" spans="1:7">
      <c r="B32" s="43" t="s">
        <v>154</v>
      </c>
      <c r="C32" s="43" t="s">
        <v>154</v>
      </c>
      <c r="D32" s="43" t="s">
        <v>154</v>
      </c>
      <c r="E32" s="43" t="s">
        <v>154</v>
      </c>
      <c r="F32" s="43" t="s">
        <v>154</v>
      </c>
      <c r="G32" s="43" t="s">
        <v>154</v>
      </c>
    </row>
    <row r="33" spans="1:7">
      <c r="A33" s="10" t="s">
        <v>1466</v>
      </c>
      <c r="B33" s="43">
        <v>1304.239</v>
      </c>
      <c r="C33" s="43">
        <v>24.949000000000002</v>
      </c>
      <c r="D33" s="43">
        <v>94.113</v>
      </c>
      <c r="E33" s="43">
        <v>16.78</v>
      </c>
      <c r="F33" s="43">
        <v>4.3899999999999997</v>
      </c>
      <c r="G33" s="43">
        <v>1444.471</v>
      </c>
    </row>
    <row r="34" spans="1:7">
      <c r="A34" s="10" t="s">
        <v>1467</v>
      </c>
      <c r="B34" s="43" t="s">
        <v>154</v>
      </c>
      <c r="C34" s="43">
        <v>0.83199999999999996</v>
      </c>
      <c r="D34" s="43">
        <v>2.496</v>
      </c>
      <c r="E34" s="43">
        <v>13.311</v>
      </c>
      <c r="F34" s="43">
        <v>59.426000000000002</v>
      </c>
      <c r="G34" s="43">
        <v>76.064999999999998</v>
      </c>
    </row>
    <row r="35" spans="1:7">
      <c r="A35" s="10" t="s">
        <v>1468</v>
      </c>
      <c r="B35" s="43" t="s">
        <v>154</v>
      </c>
      <c r="C35" s="43">
        <v>21.428000000000001</v>
      </c>
      <c r="D35" s="43" t="s">
        <v>154</v>
      </c>
      <c r="E35" s="43" t="s">
        <v>154</v>
      </c>
      <c r="F35" s="43" t="s">
        <v>154</v>
      </c>
      <c r="G35" s="43">
        <v>21.428000000000001</v>
      </c>
    </row>
    <row r="36" spans="1:7">
      <c r="A36" s="10" t="s">
        <v>1469</v>
      </c>
      <c r="B36" s="43">
        <v>32.259</v>
      </c>
      <c r="C36" s="43">
        <v>156.58199999999999</v>
      </c>
      <c r="D36" s="43" t="s">
        <v>154</v>
      </c>
      <c r="E36" s="43" t="s">
        <v>154</v>
      </c>
      <c r="F36" s="43" t="s">
        <v>154</v>
      </c>
      <c r="G36" s="43">
        <v>188.84100000000001</v>
      </c>
    </row>
    <row r="37" spans="1:7">
      <c r="A37" s="10" t="s">
        <v>1470</v>
      </c>
      <c r="B37" s="43" t="s">
        <v>154</v>
      </c>
      <c r="C37" s="43">
        <v>9.3140000000000001</v>
      </c>
      <c r="D37" s="43" t="s">
        <v>154</v>
      </c>
      <c r="E37" s="43" t="s">
        <v>154</v>
      </c>
      <c r="F37" s="43" t="s">
        <v>154</v>
      </c>
      <c r="G37" s="43">
        <v>9.3140000000000001</v>
      </c>
    </row>
    <row r="38" spans="1:7">
      <c r="A38" s="10" t="s">
        <v>1465</v>
      </c>
      <c r="B38" s="43" t="s">
        <v>154</v>
      </c>
      <c r="C38" s="43">
        <v>18.559000000000001</v>
      </c>
      <c r="D38" s="43" t="s">
        <v>154</v>
      </c>
      <c r="E38" s="43">
        <v>0.61</v>
      </c>
      <c r="F38" s="43" t="s">
        <v>154</v>
      </c>
      <c r="G38" s="43">
        <v>19.169</v>
      </c>
    </row>
    <row r="39" spans="1:7">
      <c r="A39" s="10" t="s">
        <v>1471</v>
      </c>
      <c r="B39" s="43" t="s">
        <v>154</v>
      </c>
      <c r="C39" s="43">
        <v>1.0999999999999999E-2</v>
      </c>
      <c r="D39" s="43" t="s">
        <v>154</v>
      </c>
      <c r="E39" s="43" t="s">
        <v>154</v>
      </c>
      <c r="F39" s="43" t="s">
        <v>154</v>
      </c>
      <c r="G39" s="43">
        <v>1.0999999999999999E-2</v>
      </c>
    </row>
    <row r="40" spans="1:7">
      <c r="A40" s="10" t="s">
        <v>830</v>
      </c>
      <c r="B40" s="43">
        <v>1336.498</v>
      </c>
      <c r="C40" s="43">
        <v>231.67500000000001</v>
      </c>
      <c r="D40" s="43">
        <v>96.608999999999995</v>
      </c>
      <c r="E40" s="43">
        <v>30.701000000000001</v>
      </c>
      <c r="F40" s="43">
        <v>63.816000000000003</v>
      </c>
      <c r="G40" s="43">
        <v>1759.299</v>
      </c>
    </row>
    <row r="41" spans="1:7">
      <c r="B41" s="43"/>
      <c r="C41" s="43"/>
      <c r="D41" s="43"/>
      <c r="E41" s="43"/>
      <c r="F41" s="43"/>
      <c r="G41" s="43"/>
    </row>
    <row r="42" spans="1:7">
      <c r="B42" s="43"/>
      <c r="C42" s="43"/>
      <c r="D42" s="43"/>
      <c r="E42" s="43"/>
      <c r="F42" s="43"/>
      <c r="G42" s="43"/>
    </row>
    <row r="43" spans="1:7">
      <c r="B43" s="43"/>
      <c r="C43" s="43"/>
      <c r="D43" s="43"/>
      <c r="E43" s="43"/>
      <c r="F43" s="43"/>
      <c r="G43" s="43"/>
    </row>
    <row r="44" spans="1:7">
      <c r="B44" s="43"/>
      <c r="C44" s="43"/>
      <c r="D44" s="43"/>
      <c r="E44" s="43"/>
      <c r="F44" s="43"/>
      <c r="G44" s="43"/>
    </row>
    <row r="45" spans="1:7">
      <c r="B45" s="43"/>
      <c r="C45" s="43"/>
      <c r="D45" s="43"/>
      <c r="E45" s="43"/>
      <c r="F45" s="43"/>
      <c r="G45" s="43"/>
    </row>
    <row r="46" spans="1:7">
      <c r="B46" s="43"/>
      <c r="C46" s="43"/>
      <c r="D46" s="43"/>
      <c r="E46" s="43"/>
      <c r="F46" s="43"/>
      <c r="G46" s="43"/>
    </row>
    <row r="47" spans="1:7">
      <c r="B47" s="43"/>
      <c r="C47" s="43"/>
      <c r="D47" s="43"/>
      <c r="E47" s="43"/>
      <c r="F47" s="43"/>
      <c r="G47" s="43"/>
    </row>
    <row r="48" spans="1:7">
      <c r="B48" s="43"/>
      <c r="C48" s="43"/>
      <c r="D48" s="43"/>
      <c r="E48" s="43"/>
      <c r="F48" s="43"/>
      <c r="G48" s="43"/>
    </row>
    <row r="49" spans="2:7">
      <c r="B49" s="43"/>
      <c r="C49" s="43"/>
      <c r="D49" s="43"/>
      <c r="E49" s="43"/>
      <c r="F49" s="43"/>
      <c r="G49" s="43"/>
    </row>
    <row r="50" spans="2:7">
      <c r="B50" s="43"/>
      <c r="C50" s="43"/>
      <c r="D50" s="43"/>
      <c r="E50" s="43"/>
      <c r="F50" s="43"/>
      <c r="G50" s="43"/>
    </row>
    <row r="51" spans="2:7">
      <c r="B51" s="43"/>
      <c r="C51" s="43"/>
      <c r="D51" s="43"/>
      <c r="E51" s="43"/>
      <c r="F51" s="43"/>
      <c r="G51" s="43"/>
    </row>
    <row r="52" spans="2:7">
      <c r="B52" s="43"/>
      <c r="C52" s="43"/>
      <c r="D52" s="43"/>
      <c r="E52" s="43"/>
      <c r="F52" s="43"/>
      <c r="G52" s="43"/>
    </row>
    <row r="53" spans="2:7">
      <c r="B53" s="43"/>
      <c r="C53" s="43"/>
      <c r="D53" s="43"/>
      <c r="E53" s="43"/>
      <c r="F53" s="43"/>
      <c r="G53" s="43"/>
    </row>
    <row r="54" spans="2:7">
      <c r="B54" s="43"/>
      <c r="C54" s="43"/>
      <c r="D54" s="43"/>
      <c r="E54" s="43"/>
      <c r="F54" s="43"/>
      <c r="G54" s="43"/>
    </row>
    <row r="55" spans="2:7">
      <c r="B55" s="43"/>
      <c r="C55" s="43"/>
      <c r="D55" s="43"/>
      <c r="E55" s="43"/>
      <c r="F55" s="43"/>
      <c r="G55" s="43"/>
    </row>
    <row r="56" spans="2:7">
      <c r="B56" s="43"/>
      <c r="C56" s="43"/>
      <c r="D56" s="43"/>
      <c r="E56" s="43"/>
      <c r="F56" s="43"/>
      <c r="G56" s="43"/>
    </row>
    <row r="57" spans="2:7">
      <c r="B57" s="43"/>
      <c r="C57" s="43"/>
      <c r="D57" s="43"/>
      <c r="E57" s="43"/>
      <c r="F57" s="43"/>
      <c r="G57" s="43"/>
    </row>
    <row r="58" spans="2:7">
      <c r="B58" s="43"/>
      <c r="C58" s="43"/>
      <c r="D58" s="43"/>
      <c r="E58" s="43"/>
      <c r="F58" s="43"/>
      <c r="G58" s="43"/>
    </row>
    <row r="59" spans="2:7">
      <c r="B59" s="43"/>
      <c r="C59" s="43"/>
      <c r="D59" s="43"/>
      <c r="E59" s="43"/>
      <c r="F59" s="43"/>
      <c r="G59" s="43"/>
    </row>
    <row r="60" spans="2:7">
      <c r="B60" s="43"/>
      <c r="C60" s="43"/>
      <c r="D60" s="43"/>
      <c r="E60" s="43"/>
      <c r="F60" s="43"/>
      <c r="G60" s="43"/>
    </row>
    <row r="61" spans="2:7">
      <c r="B61" s="43"/>
      <c r="C61" s="43"/>
      <c r="D61" s="43"/>
      <c r="E61" s="43"/>
      <c r="F61" s="43"/>
      <c r="G61" s="43"/>
    </row>
    <row r="62" spans="2:7">
      <c r="B62" s="43"/>
      <c r="C62" s="43"/>
      <c r="D62" s="43"/>
      <c r="E62" s="43"/>
      <c r="F62" s="43"/>
      <c r="G62" s="43"/>
    </row>
  </sheetData>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29" sqref="H29"/>
    </sheetView>
  </sheetViews>
  <sheetFormatPr defaultColWidth="9.109375" defaultRowHeight="13.2"/>
  <cols>
    <col min="1" max="16384" width="9.109375" style="10"/>
  </cols>
  <sheetData>
    <row r="1" spans="1:1">
      <c r="A1" s="11" t="s">
        <v>789</v>
      </c>
    </row>
    <row r="2" spans="1:1">
      <c r="A2" s="10" t="s">
        <v>156</v>
      </c>
    </row>
  </sheetData>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heetViews>
  <sheetFormatPr defaultColWidth="9.109375" defaultRowHeight="13.2"/>
  <cols>
    <col min="1" max="16384" width="9.109375" style="10"/>
  </cols>
  <sheetData>
    <row r="1" spans="1:9">
      <c r="A1" s="11" t="s">
        <v>790</v>
      </c>
      <c r="I1" s="15" t="s">
        <v>121</v>
      </c>
    </row>
    <row r="3" spans="1:9">
      <c r="A3" s="10" t="s">
        <v>791</v>
      </c>
      <c r="I3" s="10">
        <v>76</v>
      </c>
    </row>
    <row r="4" spans="1:9">
      <c r="A4" s="10" t="s">
        <v>109</v>
      </c>
      <c r="I4" s="10">
        <v>77</v>
      </c>
    </row>
    <row r="5" spans="1:9">
      <c r="A5" s="10" t="s">
        <v>110</v>
      </c>
      <c r="I5" s="10">
        <v>78</v>
      </c>
    </row>
    <row r="6" spans="1:9">
      <c r="A6" s="10" t="s">
        <v>792</v>
      </c>
      <c r="I6" s="10">
        <v>79</v>
      </c>
    </row>
    <row r="7" spans="1:9">
      <c r="A7" s="10" t="s">
        <v>793</v>
      </c>
      <c r="I7" s="10">
        <v>80</v>
      </c>
    </row>
    <row r="8" spans="1:9">
      <c r="A8" s="10" t="s">
        <v>113</v>
      </c>
      <c r="I8" s="10">
        <v>81</v>
      </c>
    </row>
    <row r="9" spans="1:9">
      <c r="A9" s="10" t="s">
        <v>114</v>
      </c>
      <c r="I9" s="10">
        <v>82</v>
      </c>
    </row>
    <row r="10" spans="1:9">
      <c r="A10" s="10" t="s">
        <v>115</v>
      </c>
      <c r="I10" s="10">
        <v>83</v>
      </c>
    </row>
    <row r="11" spans="1:9">
      <c r="A11" s="10" t="s">
        <v>116</v>
      </c>
      <c r="I11" s="10">
        <v>84</v>
      </c>
    </row>
    <row r="12" spans="1:9">
      <c r="A12" s="10" t="s">
        <v>794</v>
      </c>
      <c r="I12" s="10">
        <v>85</v>
      </c>
    </row>
    <row r="13" spans="1:9">
      <c r="A13" s="10" t="s">
        <v>795</v>
      </c>
      <c r="I13" s="10">
        <v>86</v>
      </c>
    </row>
    <row r="14" spans="1:9">
      <c r="A14" s="10" t="s">
        <v>796</v>
      </c>
      <c r="I14" s="10">
        <v>87</v>
      </c>
    </row>
    <row r="15" spans="1:9">
      <c r="A15" s="10" t="s">
        <v>120</v>
      </c>
      <c r="I15" s="10">
        <v>88</v>
      </c>
    </row>
    <row r="16" spans="1:9">
      <c r="A16" s="10" t="s">
        <v>797</v>
      </c>
      <c r="I16" s="10">
        <v>89</v>
      </c>
    </row>
  </sheetData>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workbookViewId="0"/>
  </sheetViews>
  <sheetFormatPr defaultColWidth="9.109375" defaultRowHeight="13.2"/>
  <cols>
    <col min="1" max="1" width="51.5546875" style="10" customWidth="1"/>
    <col min="2" max="8" width="12.88671875" style="10" customWidth="1"/>
    <col min="9" max="16384" width="9.109375" style="10"/>
  </cols>
  <sheetData>
    <row r="1" spans="1:10">
      <c r="A1" s="11" t="s">
        <v>798</v>
      </c>
    </row>
    <row r="2" spans="1:10">
      <c r="A2" s="11"/>
    </row>
    <row r="3" spans="1:10">
      <c r="A3" s="11"/>
    </row>
    <row r="4" spans="1:10">
      <c r="A4" s="11"/>
    </row>
    <row r="5" spans="1:10">
      <c r="B5" s="16" t="s">
        <v>192</v>
      </c>
      <c r="C5" s="16" t="s">
        <v>193</v>
      </c>
      <c r="D5" s="16" t="s">
        <v>211</v>
      </c>
      <c r="E5" s="16" t="s">
        <v>212</v>
      </c>
      <c r="F5" s="16" t="s">
        <v>213</v>
      </c>
      <c r="G5" s="16" t="s">
        <v>214</v>
      </c>
      <c r="H5" s="16" t="s">
        <v>215</v>
      </c>
    </row>
    <row r="6" spans="1:10" ht="15" customHeight="1">
      <c r="D6" s="327" t="s">
        <v>799</v>
      </c>
      <c r="E6" s="327"/>
      <c r="F6" s="327"/>
      <c r="G6" s="327"/>
      <c r="H6" s="327"/>
    </row>
    <row r="7" spans="1:10" ht="79.2">
      <c r="A7" s="12" t="s">
        <v>272</v>
      </c>
      <c r="B7" s="22" t="s">
        <v>800</v>
      </c>
      <c r="C7" s="22" t="s">
        <v>801</v>
      </c>
      <c r="D7" s="22" t="s">
        <v>802</v>
      </c>
      <c r="E7" s="22" t="s">
        <v>803</v>
      </c>
      <c r="F7" s="22" t="s">
        <v>804</v>
      </c>
      <c r="G7" s="22" t="s">
        <v>805</v>
      </c>
      <c r="H7" s="22" t="s">
        <v>806</v>
      </c>
      <c r="I7" s="19"/>
    </row>
    <row r="8" spans="1:10">
      <c r="A8" s="10" t="s">
        <v>807</v>
      </c>
    </row>
    <row r="9" spans="1:10">
      <c r="A9" s="10" t="s">
        <v>736</v>
      </c>
      <c r="B9" s="208">
        <v>1248.09491819</v>
      </c>
      <c r="C9" s="43"/>
      <c r="D9" s="43">
        <v>35459.664000000004</v>
      </c>
      <c r="E9" s="43" t="s">
        <v>154</v>
      </c>
      <c r="F9" s="43" t="s">
        <v>154</v>
      </c>
      <c r="G9" s="43" t="s">
        <v>154</v>
      </c>
      <c r="H9" s="43" t="s">
        <v>154</v>
      </c>
      <c r="J9" s="10" t="s">
        <v>1208</v>
      </c>
    </row>
    <row r="10" spans="1:10">
      <c r="A10" s="10" t="s">
        <v>808</v>
      </c>
      <c r="B10" s="208"/>
      <c r="C10" s="43"/>
      <c r="D10" s="43">
        <v>5889.5450000000001</v>
      </c>
      <c r="E10" s="43">
        <v>3317.8760000000002</v>
      </c>
      <c r="F10" s="43" t="s">
        <v>154</v>
      </c>
      <c r="G10" s="43" t="s">
        <v>154</v>
      </c>
      <c r="H10" s="43">
        <v>-8.8999999999999996E-2</v>
      </c>
    </row>
    <row r="11" spans="1:10">
      <c r="A11" s="10" t="s">
        <v>782</v>
      </c>
      <c r="B11" s="208">
        <v>72.522539690000016</v>
      </c>
      <c r="C11" s="43"/>
      <c r="D11" s="43">
        <v>2415.9050000000007</v>
      </c>
      <c r="E11" s="43">
        <v>5961.3619999999992</v>
      </c>
      <c r="F11" s="43" t="s">
        <v>154</v>
      </c>
      <c r="G11" s="43" t="s">
        <v>154</v>
      </c>
      <c r="H11" s="43">
        <v>-13.996999999999998</v>
      </c>
    </row>
    <row r="12" spans="1:10">
      <c r="A12" s="10" t="s">
        <v>781</v>
      </c>
      <c r="B12" s="208">
        <v>1616.0805859754655</v>
      </c>
      <c r="C12" s="43"/>
      <c r="D12" s="43">
        <v>292523.45509657072</v>
      </c>
      <c r="E12" s="43">
        <v>23217.356</v>
      </c>
      <c r="F12" s="43">
        <v>6924.13986398</v>
      </c>
      <c r="G12" s="43" t="s">
        <v>154</v>
      </c>
      <c r="H12" s="43">
        <v>1431.5570394492506</v>
      </c>
    </row>
    <row r="13" spans="1:10">
      <c r="A13" s="10" t="s">
        <v>809</v>
      </c>
      <c r="B13" s="208">
        <v>32.762530720000001</v>
      </c>
      <c r="C13" s="43"/>
      <c r="D13" s="43">
        <v>48712.048000000003</v>
      </c>
      <c r="E13" s="43" t="s">
        <v>154</v>
      </c>
      <c r="F13" s="43" t="s">
        <v>154</v>
      </c>
      <c r="G13" s="43">
        <v>8808.4279999999999</v>
      </c>
      <c r="H13" s="43">
        <v>-1.413</v>
      </c>
    </row>
    <row r="14" spans="1:10">
      <c r="A14" s="10" t="s">
        <v>810</v>
      </c>
      <c r="B14" s="208">
        <v>0</v>
      </c>
      <c r="C14" s="43"/>
      <c r="D14" s="43">
        <v>2353.3720000000003</v>
      </c>
      <c r="E14" s="43" t="s">
        <v>154</v>
      </c>
      <c r="F14" s="43" t="s">
        <v>154</v>
      </c>
      <c r="G14" s="43">
        <v>4797.576</v>
      </c>
      <c r="H14" s="43" t="s">
        <v>154</v>
      </c>
    </row>
    <row r="15" spans="1:10">
      <c r="A15" s="10" t="s">
        <v>811</v>
      </c>
      <c r="B15" s="208">
        <v>0.16791999999999996</v>
      </c>
      <c r="C15" s="43"/>
      <c r="D15" s="43">
        <v>1081.1518100000001</v>
      </c>
      <c r="E15" s="43" t="s">
        <v>154</v>
      </c>
      <c r="F15" s="43" t="s">
        <v>154</v>
      </c>
      <c r="G15" s="43">
        <v>1663.9373000000001</v>
      </c>
      <c r="H15" s="43">
        <v>68.620890000000003</v>
      </c>
    </row>
    <row r="16" spans="1:10">
      <c r="A16" s="10" t="s">
        <v>812</v>
      </c>
      <c r="B16" s="208">
        <v>0</v>
      </c>
      <c r="C16" s="43"/>
      <c r="D16" s="43" t="s">
        <v>154</v>
      </c>
      <c r="E16" s="43" t="s">
        <v>154</v>
      </c>
      <c r="F16" s="43" t="s">
        <v>154</v>
      </c>
      <c r="G16" s="43">
        <v>-9.691743481345938E-4</v>
      </c>
      <c r="H16" s="43">
        <v>3949.7389691743483</v>
      </c>
    </row>
    <row r="17" spans="1:8">
      <c r="A17" s="10" t="s">
        <v>380</v>
      </c>
      <c r="B17" s="208">
        <v>0</v>
      </c>
      <c r="C17" s="43"/>
      <c r="D17" s="43" t="s">
        <v>154</v>
      </c>
      <c r="E17" s="43">
        <v>39105.322</v>
      </c>
      <c r="F17" s="43" t="s">
        <v>154</v>
      </c>
      <c r="G17" s="43" t="s">
        <v>154</v>
      </c>
      <c r="H17" s="43" t="s">
        <v>154</v>
      </c>
    </row>
    <row r="18" spans="1:8">
      <c r="A18" s="10" t="s">
        <v>813</v>
      </c>
      <c r="B18" s="208">
        <v>0</v>
      </c>
      <c r="C18" s="43"/>
      <c r="D18" s="43" t="s">
        <v>154</v>
      </c>
      <c r="E18" s="43" t="s">
        <v>154</v>
      </c>
      <c r="F18" s="43" t="s">
        <v>154</v>
      </c>
      <c r="G18" s="43">
        <v>217.22900000000001</v>
      </c>
      <c r="H18" s="43" t="s">
        <v>154</v>
      </c>
    </row>
    <row r="19" spans="1:8">
      <c r="A19" s="10" t="s">
        <v>814</v>
      </c>
      <c r="B19" s="208">
        <v>6.5907999999821186E-4</v>
      </c>
      <c r="C19" s="43"/>
      <c r="D19" s="43">
        <v>1334.806</v>
      </c>
      <c r="E19" s="43" t="s">
        <v>154</v>
      </c>
      <c r="F19" s="43" t="s">
        <v>154</v>
      </c>
      <c r="G19" s="43" t="s">
        <v>154</v>
      </c>
      <c r="H19" s="43">
        <v>1.9999999999527063E-3</v>
      </c>
    </row>
    <row r="20" spans="1:8">
      <c r="A20" s="10" t="s">
        <v>131</v>
      </c>
      <c r="B20" s="208">
        <v>18.318600249999999</v>
      </c>
      <c r="C20" s="43"/>
      <c r="D20" s="43" t="s">
        <v>154</v>
      </c>
      <c r="E20" s="43" t="s">
        <v>154</v>
      </c>
      <c r="F20" s="43" t="s">
        <v>154</v>
      </c>
      <c r="G20" s="43" t="s">
        <v>154</v>
      </c>
      <c r="H20" s="43">
        <v>3537.1449999999995</v>
      </c>
    </row>
    <row r="21" spans="1:8">
      <c r="A21" s="10" t="s">
        <v>815</v>
      </c>
      <c r="B21" s="208">
        <v>6.8783064399999994</v>
      </c>
      <c r="C21" s="43"/>
      <c r="D21" s="43">
        <v>1933.5739999999998</v>
      </c>
      <c r="E21" s="43" t="s">
        <v>154</v>
      </c>
      <c r="F21" s="43" t="s">
        <v>154</v>
      </c>
      <c r="G21" s="43" t="s">
        <v>154</v>
      </c>
      <c r="H21" s="43" t="s">
        <v>154</v>
      </c>
    </row>
    <row r="22" spans="1:8">
      <c r="A22" s="10" t="s">
        <v>816</v>
      </c>
      <c r="B22" s="208">
        <v>0</v>
      </c>
      <c r="C22" s="43"/>
      <c r="D22" s="43">
        <v>4.0759999999999996</v>
      </c>
      <c r="E22" s="43" t="s">
        <v>154</v>
      </c>
      <c r="F22" s="43" t="s">
        <v>154</v>
      </c>
      <c r="G22" s="43" t="s">
        <v>154</v>
      </c>
      <c r="H22" s="43" t="s">
        <v>154</v>
      </c>
    </row>
    <row r="23" spans="1:8">
      <c r="A23" s="10" t="s">
        <v>130</v>
      </c>
      <c r="B23" s="208">
        <v>0</v>
      </c>
      <c r="C23" s="43"/>
      <c r="D23" s="43">
        <v>339.89848000000001</v>
      </c>
      <c r="E23" s="43" t="s">
        <v>154</v>
      </c>
      <c r="F23" s="43" t="s">
        <v>154</v>
      </c>
      <c r="G23" s="43" t="s">
        <v>154</v>
      </c>
      <c r="H23" s="43">
        <v>136.82952</v>
      </c>
    </row>
    <row r="24" spans="1:8">
      <c r="A24" s="10" t="s">
        <v>817</v>
      </c>
      <c r="B24" s="208">
        <v>3.5728679999999999E-2</v>
      </c>
      <c r="C24" s="43"/>
      <c r="D24" s="43">
        <v>359.09399999999999</v>
      </c>
      <c r="E24" s="43" t="s">
        <v>154</v>
      </c>
      <c r="F24" s="43" t="s">
        <v>154</v>
      </c>
      <c r="G24" s="43" t="s">
        <v>154</v>
      </c>
      <c r="H24" s="43" t="s">
        <v>154</v>
      </c>
    </row>
    <row r="25" spans="1:8">
      <c r="A25" s="10" t="s">
        <v>818</v>
      </c>
      <c r="B25" s="208">
        <v>0</v>
      </c>
      <c r="C25" s="43"/>
      <c r="D25" s="43" t="s">
        <v>154</v>
      </c>
      <c r="E25" s="43" t="s">
        <v>154</v>
      </c>
      <c r="F25" s="43" t="s">
        <v>154</v>
      </c>
      <c r="G25" s="43" t="s">
        <v>154</v>
      </c>
      <c r="H25" s="43">
        <v>172.52699999999999</v>
      </c>
    </row>
    <row r="26" spans="1:8">
      <c r="A26" s="10" t="s">
        <v>718</v>
      </c>
      <c r="B26" s="208">
        <v>38.460487769999993</v>
      </c>
      <c r="C26" s="43"/>
      <c r="D26" s="43">
        <v>957.18700000000013</v>
      </c>
      <c r="E26" s="43" t="s">
        <v>154</v>
      </c>
      <c r="F26" s="43" t="s">
        <v>154</v>
      </c>
      <c r="G26" s="43">
        <v>11375.2</v>
      </c>
      <c r="H26" s="43" t="s">
        <v>154</v>
      </c>
    </row>
    <row r="27" spans="1:8">
      <c r="A27" s="10" t="s">
        <v>819</v>
      </c>
      <c r="B27" s="208">
        <v>0</v>
      </c>
      <c r="C27" s="43"/>
      <c r="D27" s="43">
        <v>1051.153</v>
      </c>
      <c r="E27" s="43" t="s">
        <v>154</v>
      </c>
      <c r="F27" s="43" t="s">
        <v>154</v>
      </c>
      <c r="G27" s="43" t="s">
        <v>154</v>
      </c>
      <c r="H27" s="43" t="s">
        <v>154</v>
      </c>
    </row>
    <row r="28" spans="1:8">
      <c r="A28" s="10" t="s">
        <v>820</v>
      </c>
      <c r="B28" s="208" t="s">
        <v>154</v>
      </c>
      <c r="C28" s="43" t="s">
        <v>154</v>
      </c>
      <c r="D28" s="43" t="s">
        <v>154</v>
      </c>
      <c r="E28" s="43" t="s">
        <v>154</v>
      </c>
      <c r="F28" s="43" t="s">
        <v>154</v>
      </c>
      <c r="G28" s="43" t="s">
        <v>154</v>
      </c>
      <c r="H28" s="43" t="s">
        <v>154</v>
      </c>
    </row>
    <row r="29" spans="1:8">
      <c r="A29" s="10" t="s">
        <v>783</v>
      </c>
      <c r="B29" s="208">
        <f>SUM(B9:B28)</f>
        <v>3033.3222767954653</v>
      </c>
      <c r="C29" s="43"/>
      <c r="D29" s="43">
        <v>394414.92938657064</v>
      </c>
      <c r="E29" s="43">
        <v>71601.915999999997</v>
      </c>
      <c r="F29" s="43">
        <v>6924.13986398</v>
      </c>
      <c r="G29" s="43">
        <v>26862.369330825652</v>
      </c>
      <c r="H29" s="43">
        <v>9280.9214186235968</v>
      </c>
    </row>
    <row r="30" spans="1:8">
      <c r="B30" s="208"/>
      <c r="C30" s="43"/>
      <c r="D30" s="43"/>
      <c r="E30" s="43"/>
      <c r="F30" s="43"/>
      <c r="G30" s="43"/>
      <c r="H30" s="43"/>
    </row>
    <row r="31" spans="1:8">
      <c r="A31" s="10" t="s">
        <v>821</v>
      </c>
      <c r="B31" s="208"/>
      <c r="C31" s="43"/>
      <c r="D31" s="43"/>
      <c r="E31" s="43"/>
      <c r="F31" s="43"/>
      <c r="G31" s="43"/>
      <c r="H31" s="43"/>
    </row>
    <row r="32" spans="1:8">
      <c r="A32" s="10" t="s">
        <v>759</v>
      </c>
      <c r="B32" s="208">
        <v>2.4186955602433864</v>
      </c>
      <c r="C32" s="43"/>
      <c r="D32" s="43"/>
      <c r="E32" s="43">
        <v>12184.328</v>
      </c>
      <c r="F32" s="43" t="s">
        <v>154</v>
      </c>
      <c r="G32" s="43" t="s">
        <v>154</v>
      </c>
      <c r="H32" s="43">
        <v>20120.339</v>
      </c>
    </row>
    <row r="33" spans="1:8">
      <c r="A33" s="10" t="s">
        <v>763</v>
      </c>
      <c r="B33" s="208">
        <v>2675.3169450298369</v>
      </c>
      <c r="C33" s="43"/>
      <c r="D33" s="43"/>
      <c r="E33" s="43">
        <v>4698.3359999999993</v>
      </c>
      <c r="F33" s="43" t="s">
        <v>154</v>
      </c>
      <c r="G33" s="43" t="s">
        <v>154</v>
      </c>
      <c r="H33" s="43">
        <v>165474.06300000005</v>
      </c>
    </row>
    <row r="34" spans="1:8">
      <c r="A34" s="10" t="s">
        <v>822</v>
      </c>
      <c r="B34" s="208">
        <v>0</v>
      </c>
      <c r="C34" s="43"/>
      <c r="D34" s="43"/>
      <c r="E34" s="43" t="s">
        <v>154</v>
      </c>
      <c r="F34" s="43" t="s">
        <v>154</v>
      </c>
      <c r="G34" s="43" t="s">
        <v>154</v>
      </c>
      <c r="H34" s="43">
        <v>4377.652</v>
      </c>
    </row>
    <row r="35" spans="1:8">
      <c r="A35" s="10" t="s">
        <v>777</v>
      </c>
      <c r="B35" s="208">
        <v>0</v>
      </c>
      <c r="C35" s="43"/>
      <c r="D35" s="43"/>
      <c r="E35" s="43" t="s">
        <v>154</v>
      </c>
      <c r="F35" s="43" t="s">
        <v>154</v>
      </c>
      <c r="G35" s="43" t="s">
        <v>154</v>
      </c>
      <c r="H35" s="43" t="s">
        <v>154</v>
      </c>
    </row>
    <row r="36" spans="1:8">
      <c r="A36" s="10" t="s">
        <v>767</v>
      </c>
      <c r="B36" s="208">
        <v>0</v>
      </c>
      <c r="C36" s="43"/>
      <c r="D36" s="43"/>
      <c r="E36" s="43" t="s">
        <v>154</v>
      </c>
      <c r="F36" s="43" t="s">
        <v>154</v>
      </c>
      <c r="G36" s="43" t="s">
        <v>154</v>
      </c>
      <c r="H36" s="43">
        <v>194191.97199999998</v>
      </c>
    </row>
    <row r="37" spans="1:8">
      <c r="A37" s="10" t="s">
        <v>380</v>
      </c>
      <c r="B37" s="208">
        <v>8.2431499999999994E-3</v>
      </c>
      <c r="C37" s="43"/>
      <c r="D37" s="43"/>
      <c r="E37" s="43">
        <v>42100.850999999995</v>
      </c>
      <c r="F37" s="43" t="s">
        <v>154</v>
      </c>
      <c r="G37" s="43" t="s">
        <v>154</v>
      </c>
      <c r="H37" s="43" t="s">
        <v>154</v>
      </c>
    </row>
    <row r="38" spans="1:8">
      <c r="A38" s="10" t="s">
        <v>823</v>
      </c>
      <c r="B38" s="208">
        <v>0</v>
      </c>
      <c r="C38" s="43"/>
      <c r="D38" s="43"/>
      <c r="E38" s="43" t="s">
        <v>154</v>
      </c>
      <c r="F38" s="43" t="s">
        <v>154</v>
      </c>
      <c r="G38" s="43">
        <v>2018.2380000000001</v>
      </c>
      <c r="H38" s="43" t="s">
        <v>154</v>
      </c>
    </row>
    <row r="39" spans="1:8">
      <c r="A39" s="10" t="s">
        <v>824</v>
      </c>
      <c r="B39" s="208">
        <v>0</v>
      </c>
      <c r="C39" s="43"/>
      <c r="D39" s="43"/>
      <c r="E39" s="43" t="s">
        <v>154</v>
      </c>
      <c r="F39" s="43" t="s">
        <v>154</v>
      </c>
      <c r="G39" s="43" t="s">
        <v>154</v>
      </c>
      <c r="H39" s="43">
        <v>670.73699999999997</v>
      </c>
    </row>
    <row r="40" spans="1:8">
      <c r="A40" s="10" t="s">
        <v>785</v>
      </c>
      <c r="B40" s="208">
        <v>72.941194519999996</v>
      </c>
      <c r="C40" s="43"/>
      <c r="D40" s="43"/>
      <c r="E40" s="43" t="s">
        <v>154</v>
      </c>
      <c r="F40" s="43" t="s">
        <v>154</v>
      </c>
      <c r="G40" s="43" t="s">
        <v>154</v>
      </c>
      <c r="H40" s="43">
        <v>19749.367999999995</v>
      </c>
    </row>
    <row r="41" spans="1:8">
      <c r="A41" s="10" t="s">
        <v>825</v>
      </c>
      <c r="B41" s="208">
        <v>0</v>
      </c>
      <c r="C41" s="43"/>
      <c r="D41" s="43"/>
      <c r="E41" s="43" t="s">
        <v>154</v>
      </c>
      <c r="F41" s="43" t="s">
        <v>154</v>
      </c>
      <c r="G41" s="43" t="s">
        <v>154</v>
      </c>
      <c r="H41" s="43">
        <v>1473.424</v>
      </c>
    </row>
    <row r="42" spans="1:8">
      <c r="A42" s="10" t="s">
        <v>826</v>
      </c>
      <c r="B42" s="208">
        <v>1.21983324999999</v>
      </c>
      <c r="C42" s="43"/>
      <c r="D42" s="43"/>
      <c r="E42" s="43" t="s">
        <v>154</v>
      </c>
      <c r="F42" s="43" t="s">
        <v>154</v>
      </c>
      <c r="G42" s="43" t="s">
        <v>154</v>
      </c>
      <c r="H42" s="43">
        <v>427.10399999999998</v>
      </c>
    </row>
    <row r="43" spans="1:8">
      <c r="A43" s="10" t="s">
        <v>391</v>
      </c>
      <c r="B43" s="208">
        <v>0</v>
      </c>
      <c r="C43" s="43"/>
      <c r="D43" s="43"/>
      <c r="E43" s="43" t="s">
        <v>154</v>
      </c>
      <c r="F43" s="43" t="s">
        <v>154</v>
      </c>
      <c r="G43" s="43" t="s">
        <v>154</v>
      </c>
      <c r="H43" s="43">
        <v>567.87</v>
      </c>
    </row>
    <row r="44" spans="1:8">
      <c r="A44" s="10" t="s">
        <v>827</v>
      </c>
      <c r="B44" s="208">
        <v>0</v>
      </c>
      <c r="C44" s="43"/>
      <c r="D44" s="43"/>
      <c r="E44" s="43" t="s">
        <v>154</v>
      </c>
      <c r="F44" s="43" t="s">
        <v>154</v>
      </c>
      <c r="G44" s="43" t="s">
        <v>154</v>
      </c>
      <c r="H44" s="43">
        <v>407.63</v>
      </c>
    </row>
    <row r="45" spans="1:8">
      <c r="A45" s="10" t="s">
        <v>784</v>
      </c>
      <c r="B45" s="208">
        <v>75.444482239999999</v>
      </c>
      <c r="C45" s="43"/>
      <c r="D45" s="43"/>
      <c r="E45" s="43" t="s">
        <v>154</v>
      </c>
      <c r="F45" s="43" t="s">
        <v>154</v>
      </c>
      <c r="G45" s="43" t="s">
        <v>154</v>
      </c>
      <c r="H45" s="43">
        <v>9819.396999999999</v>
      </c>
    </row>
    <row r="46" spans="1:8">
      <c r="A46" s="10" t="s">
        <v>828</v>
      </c>
      <c r="B46" s="208" t="s">
        <v>154</v>
      </c>
      <c r="C46" s="43"/>
      <c r="D46" s="43"/>
      <c r="E46" s="43" t="s">
        <v>154</v>
      </c>
      <c r="F46" s="43" t="s">
        <v>154</v>
      </c>
      <c r="G46" s="43" t="s">
        <v>154</v>
      </c>
      <c r="H46" s="43" t="s">
        <v>154</v>
      </c>
    </row>
    <row r="47" spans="1:8">
      <c r="A47" s="10" t="s">
        <v>829</v>
      </c>
      <c r="B47" s="208">
        <v>205.97288303999997</v>
      </c>
      <c r="C47" s="43"/>
      <c r="D47" s="43"/>
      <c r="E47" s="43" t="s">
        <v>154</v>
      </c>
      <c r="F47" s="43" t="s">
        <v>154</v>
      </c>
      <c r="G47" s="43" t="s">
        <v>154</v>
      </c>
      <c r="H47" s="43">
        <v>30802.956999999999</v>
      </c>
    </row>
    <row r="48" spans="1:8">
      <c r="A48" s="10" t="s">
        <v>830</v>
      </c>
      <c r="B48" s="208">
        <f>SUM(B32:B47)</f>
        <v>3033.3222767900807</v>
      </c>
      <c r="C48" s="43"/>
      <c r="D48" s="43"/>
      <c r="E48" s="43">
        <v>58983.514999999992</v>
      </c>
      <c r="F48" s="43" t="s">
        <v>154</v>
      </c>
      <c r="G48" s="43">
        <v>2018.2380000000001</v>
      </c>
      <c r="H48" s="43">
        <v>448082.51300000009</v>
      </c>
    </row>
    <row r="50" spans="1:1">
      <c r="A50" s="10" t="s">
        <v>831</v>
      </c>
    </row>
    <row r="51" spans="1:1">
      <c r="A51" s="10" t="s">
        <v>832</v>
      </c>
    </row>
  </sheetData>
  <mergeCells count="1">
    <mergeCell ref="D6:H6"/>
  </mergeCell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heetViews>
  <sheetFormatPr defaultColWidth="9.109375" defaultRowHeight="13.2"/>
  <cols>
    <col min="1" max="1" width="85" style="10" customWidth="1"/>
    <col min="2" max="6" width="15.33203125" style="10" customWidth="1"/>
    <col min="7" max="16384" width="9.109375" style="10"/>
  </cols>
  <sheetData>
    <row r="1" spans="1:7">
      <c r="A1" s="11" t="s">
        <v>855</v>
      </c>
    </row>
    <row r="5" spans="1:7">
      <c r="B5" s="16" t="s">
        <v>192</v>
      </c>
      <c r="C5" s="16" t="s">
        <v>193</v>
      </c>
      <c r="D5" s="16" t="s">
        <v>211</v>
      </c>
      <c r="E5" s="16" t="s">
        <v>212</v>
      </c>
      <c r="F5" s="16" t="s">
        <v>213</v>
      </c>
    </row>
    <row r="6" spans="1:7" ht="15" customHeight="1">
      <c r="B6" s="302" t="s">
        <v>833</v>
      </c>
      <c r="C6" s="302"/>
      <c r="D6" s="302"/>
      <c r="E6" s="302"/>
      <c r="F6" s="302"/>
    </row>
    <row r="7" spans="1:7" ht="39.6">
      <c r="A7" s="12" t="s">
        <v>272</v>
      </c>
      <c r="B7" s="22" t="s">
        <v>834</v>
      </c>
      <c r="C7" s="22" t="s">
        <v>835</v>
      </c>
      <c r="D7" s="22" t="s">
        <v>836</v>
      </c>
      <c r="E7" s="22" t="s">
        <v>837</v>
      </c>
      <c r="F7" s="22" t="s">
        <v>838</v>
      </c>
    </row>
    <row r="8" spans="1:7">
      <c r="A8" s="10" t="s">
        <v>839</v>
      </c>
      <c r="B8" s="43"/>
      <c r="C8" s="43"/>
      <c r="D8" s="43"/>
      <c r="E8" s="43"/>
      <c r="F8" s="43"/>
      <c r="G8" s="43"/>
    </row>
    <row r="9" spans="1:7">
      <c r="A9" s="10" t="s">
        <v>840</v>
      </c>
      <c r="B9" s="43"/>
      <c r="C9" s="43"/>
      <c r="D9" s="43"/>
      <c r="E9" s="43"/>
      <c r="F9" s="43"/>
      <c r="G9" s="43"/>
    </row>
    <row r="10" spans="1:7">
      <c r="A10" s="10" t="s">
        <v>841</v>
      </c>
      <c r="B10" s="43"/>
      <c r="C10" s="43"/>
      <c r="D10" s="43"/>
      <c r="E10" s="43"/>
      <c r="F10" s="43"/>
      <c r="G10" s="43"/>
    </row>
    <row r="11" spans="1:7">
      <c r="A11" s="10" t="s">
        <v>842</v>
      </c>
      <c r="B11" s="43"/>
      <c r="C11" s="43"/>
      <c r="D11" s="43"/>
      <c r="E11" s="43"/>
      <c r="F11" s="43"/>
      <c r="G11" s="43"/>
    </row>
    <row r="12" spans="1:7">
      <c r="A12" s="10" t="s">
        <v>843</v>
      </c>
      <c r="B12" s="43"/>
      <c r="C12" s="43"/>
      <c r="D12" s="43"/>
      <c r="E12" s="43"/>
      <c r="F12" s="43"/>
      <c r="G12" s="43"/>
    </row>
    <row r="13" spans="1:7">
      <c r="A13" s="10" t="s">
        <v>844</v>
      </c>
      <c r="B13" s="43"/>
      <c r="C13" s="43"/>
      <c r="D13" s="43"/>
      <c r="E13" s="43"/>
      <c r="F13" s="43"/>
      <c r="G13" s="43"/>
    </row>
    <row r="14" spans="1:7">
      <c r="A14" s="10" t="s">
        <v>845</v>
      </c>
      <c r="B14" s="43"/>
      <c r="C14" s="43"/>
      <c r="D14" s="43"/>
      <c r="E14" s="43"/>
      <c r="F14" s="43"/>
      <c r="G14" s="43"/>
    </row>
    <row r="15" spans="1:7">
      <c r="A15" s="10" t="s">
        <v>846</v>
      </c>
      <c r="B15" s="43"/>
      <c r="C15" s="43"/>
      <c r="D15" s="43"/>
      <c r="E15" s="43"/>
      <c r="F15" s="43"/>
      <c r="G15" s="43"/>
    </row>
    <row r="16" spans="1:7">
      <c r="A16" s="10" t="s">
        <v>847</v>
      </c>
      <c r="B16" s="43"/>
      <c r="C16" s="43"/>
      <c r="D16" s="43"/>
      <c r="E16" s="43"/>
      <c r="F16" s="43"/>
      <c r="G16" s="43"/>
    </row>
    <row r="17" spans="1:7">
      <c r="A17" s="10" t="s">
        <v>848</v>
      </c>
      <c r="B17" s="43"/>
      <c r="C17" s="43"/>
      <c r="D17" s="43"/>
      <c r="E17" s="43"/>
      <c r="F17" s="43"/>
      <c r="G17" s="43"/>
    </row>
    <row r="18" spans="1:7">
      <c r="A18" s="10" t="s">
        <v>849</v>
      </c>
      <c r="B18" s="43"/>
      <c r="C18" s="43"/>
      <c r="D18" s="43"/>
      <c r="E18" s="43"/>
      <c r="F18" s="43"/>
      <c r="G18" s="43"/>
    </row>
    <row r="19" spans="1:7">
      <c r="A19" s="10" t="s">
        <v>850</v>
      </c>
      <c r="B19" s="43"/>
      <c r="C19" s="43"/>
      <c r="D19" s="43"/>
      <c r="E19" s="43"/>
      <c r="F19" s="43"/>
      <c r="G19" s="43"/>
    </row>
    <row r="21" spans="1:7">
      <c r="A21" s="10" t="s">
        <v>851</v>
      </c>
    </row>
    <row r="22" spans="1:7">
      <c r="A22" s="10" t="s">
        <v>852</v>
      </c>
    </row>
    <row r="24" spans="1:7">
      <c r="A24" s="10" t="s">
        <v>853</v>
      </c>
    </row>
    <row r="25" spans="1:7">
      <c r="A25" s="10" t="s">
        <v>854</v>
      </c>
    </row>
  </sheetData>
  <mergeCells count="1">
    <mergeCell ref="B6:F6"/>
  </mergeCell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2"/>
  <sheetViews>
    <sheetView workbookViewId="0"/>
  </sheetViews>
  <sheetFormatPr defaultColWidth="9.109375" defaultRowHeight="13.2"/>
  <cols>
    <col min="1" max="1" width="14.109375" style="15" customWidth="1"/>
    <col min="2" max="2" width="112.44140625" style="19" customWidth="1"/>
    <col min="3" max="3" width="28.109375" style="10" customWidth="1"/>
    <col min="4" max="4" width="49" style="94" customWidth="1"/>
    <col min="5" max="5" width="24.6640625" style="10" customWidth="1"/>
    <col min="6" max="16384" width="9.109375" style="10"/>
  </cols>
  <sheetData>
    <row r="1" spans="1:7">
      <c r="A1" s="97" t="s">
        <v>856</v>
      </c>
      <c r="B1" s="10"/>
    </row>
    <row r="2" spans="1:7" ht="64.5" customHeight="1">
      <c r="A2" s="15" t="s">
        <v>123</v>
      </c>
      <c r="C2" s="19" t="s">
        <v>857</v>
      </c>
      <c r="D2" s="94" t="s">
        <v>858</v>
      </c>
      <c r="E2" s="19" t="s">
        <v>859</v>
      </c>
      <c r="G2" s="201" t="s">
        <v>1383</v>
      </c>
    </row>
    <row r="3" spans="1:7">
      <c r="A3" s="95" t="s">
        <v>860</v>
      </c>
    </row>
    <row r="4" spans="1:7">
      <c r="A4" s="15">
        <v>1</v>
      </c>
      <c r="B4" s="19" t="s">
        <v>861</v>
      </c>
      <c r="C4" s="43">
        <f>98.589759+4.712732</f>
        <v>103.302491</v>
      </c>
      <c r="D4" s="94" t="s">
        <v>862</v>
      </c>
      <c r="E4" s="10" t="s">
        <v>154</v>
      </c>
    </row>
    <row r="5" spans="1:7">
      <c r="B5" s="19" t="s">
        <v>863</v>
      </c>
      <c r="C5" s="43"/>
      <c r="D5" s="94" t="s">
        <v>864</v>
      </c>
      <c r="E5" s="10" t="s">
        <v>154</v>
      </c>
    </row>
    <row r="6" spans="1:7">
      <c r="B6" s="19" t="s">
        <v>865</v>
      </c>
      <c r="C6" s="43"/>
      <c r="D6" s="94" t="s">
        <v>864</v>
      </c>
      <c r="E6" s="10" t="s">
        <v>154</v>
      </c>
    </row>
    <row r="7" spans="1:7">
      <c r="B7" s="19" t="s">
        <v>866</v>
      </c>
      <c r="C7" s="43"/>
      <c r="D7" s="94" t="s">
        <v>864</v>
      </c>
      <c r="E7" s="10" t="s">
        <v>154</v>
      </c>
    </row>
    <row r="8" spans="1:7">
      <c r="A8" s="15">
        <v>2</v>
      </c>
      <c r="B8" s="19" t="s">
        <v>867</v>
      </c>
      <c r="C8" s="43">
        <v>69.430925999999999</v>
      </c>
      <c r="D8" s="94" t="s">
        <v>868</v>
      </c>
      <c r="E8" s="10" t="s">
        <v>154</v>
      </c>
    </row>
    <row r="9" spans="1:7" ht="26.4">
      <c r="A9" s="15">
        <v>3</v>
      </c>
      <c r="B9" s="19" t="s">
        <v>869</v>
      </c>
      <c r="C9" s="43">
        <v>0.211981</v>
      </c>
      <c r="D9" s="94" t="s">
        <v>870</v>
      </c>
      <c r="E9" s="10" t="s">
        <v>154</v>
      </c>
    </row>
    <row r="10" spans="1:7">
      <c r="A10" s="15" t="s">
        <v>871</v>
      </c>
      <c r="B10" s="19" t="s">
        <v>872</v>
      </c>
      <c r="C10" s="43"/>
      <c r="D10" s="94" t="s">
        <v>873</v>
      </c>
    </row>
    <row r="11" spans="1:7">
      <c r="A11" s="15">
        <v>4</v>
      </c>
      <c r="B11" s="19" t="s">
        <v>874</v>
      </c>
      <c r="C11" s="43"/>
      <c r="D11" s="94" t="s">
        <v>875</v>
      </c>
    </row>
    <row r="12" spans="1:7">
      <c r="B12" s="19" t="s">
        <v>876</v>
      </c>
      <c r="C12" s="43"/>
      <c r="D12" s="94" t="s">
        <v>877</v>
      </c>
    </row>
    <row r="13" spans="1:7">
      <c r="A13" s="15">
        <v>5</v>
      </c>
      <c r="B13" s="19" t="s">
        <v>878</v>
      </c>
      <c r="C13" s="43"/>
      <c r="D13" s="94" t="s">
        <v>879</v>
      </c>
    </row>
    <row r="14" spans="1:7">
      <c r="A14" s="15" t="s">
        <v>880</v>
      </c>
      <c r="B14" s="19" t="s">
        <v>881</v>
      </c>
      <c r="C14" s="43">
        <v>12.186249999999999</v>
      </c>
      <c r="D14" s="94" t="s">
        <v>882</v>
      </c>
    </row>
    <row r="15" spans="1:7">
      <c r="A15" s="15">
        <v>6</v>
      </c>
      <c r="B15" s="19" t="s">
        <v>883</v>
      </c>
      <c r="C15" s="43">
        <v>185.098377</v>
      </c>
      <c r="D15" s="94" t="s">
        <v>154</v>
      </c>
      <c r="E15" s="10" t="s">
        <v>154</v>
      </c>
    </row>
    <row r="16" spans="1:7">
      <c r="C16" s="43"/>
    </row>
    <row r="17" spans="1:5">
      <c r="A17" s="95" t="s">
        <v>884</v>
      </c>
      <c r="C17" s="43"/>
      <c r="E17" s="10" t="s">
        <v>154</v>
      </c>
    </row>
    <row r="18" spans="1:5">
      <c r="A18" s="15">
        <v>7</v>
      </c>
      <c r="B18" s="19" t="s">
        <v>885</v>
      </c>
      <c r="C18" s="43">
        <v>-3.3271000000000002E-2</v>
      </c>
      <c r="D18" s="94" t="s">
        <v>886</v>
      </c>
      <c r="E18" s="10" t="s">
        <v>154</v>
      </c>
    </row>
    <row r="19" spans="1:5">
      <c r="A19" s="15">
        <v>8</v>
      </c>
      <c r="B19" s="19" t="s">
        <v>887</v>
      </c>
      <c r="C19" s="43">
        <v>-18.3186</v>
      </c>
      <c r="D19" s="94" t="s">
        <v>888</v>
      </c>
      <c r="E19" s="10" t="s">
        <v>154</v>
      </c>
    </row>
    <row r="20" spans="1:5">
      <c r="A20" s="15">
        <v>9</v>
      </c>
      <c r="B20" s="19" t="s">
        <v>889</v>
      </c>
      <c r="C20" s="43"/>
      <c r="D20" s="94" t="s">
        <v>154</v>
      </c>
      <c r="E20" s="10" t="s">
        <v>154</v>
      </c>
    </row>
    <row r="21" spans="1:5" ht="26.4">
      <c r="A21" s="15">
        <v>10</v>
      </c>
      <c r="B21" s="19" t="s">
        <v>891</v>
      </c>
      <c r="C21" s="43"/>
      <c r="D21" s="94" t="s">
        <v>892</v>
      </c>
      <c r="E21" s="10" t="s">
        <v>154</v>
      </c>
    </row>
    <row r="22" spans="1:5">
      <c r="A22" s="15">
        <v>11</v>
      </c>
      <c r="B22" s="19" t="s">
        <v>893</v>
      </c>
      <c r="C22" s="43"/>
      <c r="D22" s="94" t="s">
        <v>894</v>
      </c>
      <c r="E22" s="10" t="s">
        <v>154</v>
      </c>
    </row>
    <row r="23" spans="1:5">
      <c r="A23" s="15">
        <v>12</v>
      </c>
      <c r="B23" s="19" t="s">
        <v>895</v>
      </c>
      <c r="C23" s="43"/>
      <c r="D23" s="94" t="s">
        <v>896</v>
      </c>
      <c r="E23" s="10" t="s">
        <v>154</v>
      </c>
    </row>
    <row r="24" spans="1:5">
      <c r="A24" s="15">
        <v>13</v>
      </c>
      <c r="B24" s="19" t="s">
        <v>897</v>
      </c>
      <c r="C24" s="43"/>
      <c r="D24" s="94" t="s">
        <v>898</v>
      </c>
      <c r="E24" s="10" t="s">
        <v>154</v>
      </c>
    </row>
    <row r="25" spans="1:5">
      <c r="A25" s="15">
        <v>14</v>
      </c>
      <c r="B25" s="19" t="s">
        <v>899</v>
      </c>
      <c r="C25" s="43"/>
      <c r="D25" s="94" t="s">
        <v>900</v>
      </c>
      <c r="E25" s="10" t="s">
        <v>154</v>
      </c>
    </row>
    <row r="26" spans="1:5">
      <c r="A26" s="15">
        <v>15</v>
      </c>
      <c r="B26" s="19" t="s">
        <v>901</v>
      </c>
      <c r="C26" s="43"/>
      <c r="D26" s="94" t="s">
        <v>902</v>
      </c>
      <c r="E26" s="10" t="s">
        <v>154</v>
      </c>
    </row>
    <row r="27" spans="1:5">
      <c r="A27" s="15">
        <v>16</v>
      </c>
      <c r="B27" s="19" t="s">
        <v>903</v>
      </c>
      <c r="C27" s="43"/>
      <c r="D27" s="94" t="s">
        <v>904</v>
      </c>
    </row>
    <row r="28" spans="1:5" ht="26.4">
      <c r="A28" s="15">
        <v>17</v>
      </c>
      <c r="B28" s="19" t="s">
        <v>905</v>
      </c>
      <c r="C28" s="43"/>
      <c r="D28" s="94" t="s">
        <v>906</v>
      </c>
    </row>
    <row r="29" spans="1:5" ht="26.4">
      <c r="A29" s="15">
        <v>18</v>
      </c>
      <c r="B29" s="19" t="s">
        <v>907</v>
      </c>
      <c r="C29" s="43"/>
      <c r="D29" s="94" t="s">
        <v>908</v>
      </c>
    </row>
    <row r="30" spans="1:5" ht="26.4">
      <c r="A30" s="15">
        <v>19</v>
      </c>
      <c r="B30" s="19" t="s">
        <v>909</v>
      </c>
      <c r="C30" s="43"/>
      <c r="D30" s="94" t="s">
        <v>910</v>
      </c>
    </row>
    <row r="31" spans="1:5">
      <c r="A31" s="15">
        <v>20</v>
      </c>
      <c r="B31" s="19" t="s">
        <v>889</v>
      </c>
      <c r="C31" s="43"/>
      <c r="D31" s="94" t="s">
        <v>154</v>
      </c>
      <c r="E31" s="10" t="s">
        <v>154</v>
      </c>
    </row>
    <row r="32" spans="1:5">
      <c r="A32" s="15" t="s">
        <v>911</v>
      </c>
      <c r="B32" s="19" t="s">
        <v>912</v>
      </c>
      <c r="C32" s="43"/>
      <c r="D32" s="94" t="s">
        <v>913</v>
      </c>
      <c r="E32" s="10" t="s">
        <v>154</v>
      </c>
    </row>
    <row r="33" spans="1:5">
      <c r="A33" s="15" t="s">
        <v>914</v>
      </c>
      <c r="B33" s="19" t="s">
        <v>915</v>
      </c>
      <c r="C33" s="43"/>
      <c r="D33" s="94" t="s">
        <v>916</v>
      </c>
      <c r="E33" s="10" t="s">
        <v>154</v>
      </c>
    </row>
    <row r="34" spans="1:5" ht="39.6">
      <c r="A34" s="15" t="s">
        <v>917</v>
      </c>
      <c r="B34" s="19" t="s">
        <v>918</v>
      </c>
      <c r="C34" s="43"/>
      <c r="D34" s="94" t="s">
        <v>919</v>
      </c>
      <c r="E34" s="10" t="s">
        <v>154</v>
      </c>
    </row>
    <row r="35" spans="1:5">
      <c r="A35" s="15" t="s">
        <v>920</v>
      </c>
      <c r="B35" s="19" t="s">
        <v>921</v>
      </c>
      <c r="C35" s="43"/>
      <c r="D35" s="94" t="s">
        <v>922</v>
      </c>
      <c r="E35" s="10" t="s">
        <v>154</v>
      </c>
    </row>
    <row r="36" spans="1:5" ht="26.4">
      <c r="A36" s="15">
        <v>21</v>
      </c>
      <c r="B36" s="19" t="s">
        <v>923</v>
      </c>
      <c r="C36" s="43"/>
      <c r="D36" s="94" t="s">
        <v>924</v>
      </c>
      <c r="E36" s="10" t="s">
        <v>154</v>
      </c>
    </row>
    <row r="37" spans="1:5">
      <c r="A37" s="15">
        <v>22</v>
      </c>
      <c r="B37" s="19" t="s">
        <v>925</v>
      </c>
      <c r="C37" s="43"/>
      <c r="D37" s="94" t="s">
        <v>926</v>
      </c>
      <c r="E37" s="10" t="s">
        <v>154</v>
      </c>
    </row>
    <row r="38" spans="1:5" ht="26.4">
      <c r="A38" s="15">
        <v>23</v>
      </c>
      <c r="B38" s="19" t="s">
        <v>927</v>
      </c>
      <c r="C38" s="43"/>
      <c r="D38" s="94" t="s">
        <v>928</v>
      </c>
    </row>
    <row r="39" spans="1:5">
      <c r="A39" s="15">
        <v>24</v>
      </c>
      <c r="B39" s="19" t="s">
        <v>889</v>
      </c>
      <c r="C39" s="43"/>
      <c r="D39" s="94" t="s">
        <v>154</v>
      </c>
      <c r="E39" s="10" t="s">
        <v>154</v>
      </c>
    </row>
    <row r="40" spans="1:5">
      <c r="A40" s="15">
        <v>25</v>
      </c>
      <c r="B40" s="19" t="s">
        <v>929</v>
      </c>
      <c r="C40" s="43"/>
      <c r="D40" s="94" t="s">
        <v>924</v>
      </c>
    </row>
    <row r="41" spans="1:5">
      <c r="A41" s="15" t="s">
        <v>930</v>
      </c>
      <c r="B41" s="19" t="s">
        <v>931</v>
      </c>
      <c r="C41" s="43"/>
      <c r="D41" s="94" t="s">
        <v>932</v>
      </c>
    </row>
    <row r="42" spans="1:5">
      <c r="A42" s="15" t="s">
        <v>933</v>
      </c>
      <c r="B42" s="19" t="s">
        <v>934</v>
      </c>
      <c r="C42" s="43"/>
      <c r="D42" s="94" t="s">
        <v>935</v>
      </c>
    </row>
    <row r="43" spans="1:5">
      <c r="A43" s="15">
        <v>26</v>
      </c>
      <c r="B43" s="19" t="s">
        <v>936</v>
      </c>
      <c r="C43" s="43"/>
      <c r="D43" s="94" t="s">
        <v>154</v>
      </c>
    </row>
    <row r="44" spans="1:5">
      <c r="A44" s="15" t="s">
        <v>937</v>
      </c>
      <c r="B44" s="19" t="s">
        <v>938</v>
      </c>
      <c r="C44" s="43"/>
      <c r="D44" s="94" t="s">
        <v>154</v>
      </c>
      <c r="E44" s="43"/>
    </row>
    <row r="45" spans="1:5">
      <c r="B45" s="19" t="s">
        <v>939</v>
      </c>
      <c r="C45" s="43"/>
      <c r="D45" s="94">
        <v>467</v>
      </c>
      <c r="E45" s="43"/>
    </row>
    <row r="46" spans="1:5">
      <c r="B46" s="19" t="s">
        <v>940</v>
      </c>
      <c r="C46" s="43"/>
      <c r="D46" s="94">
        <v>467</v>
      </c>
      <c r="E46" s="43"/>
    </row>
    <row r="47" spans="1:5">
      <c r="B47" s="19" t="s">
        <v>941</v>
      </c>
      <c r="C47" s="43"/>
      <c r="D47" s="94">
        <v>468</v>
      </c>
      <c r="E47" s="43"/>
    </row>
    <row r="48" spans="1:5">
      <c r="B48" s="19" t="s">
        <v>942</v>
      </c>
      <c r="C48" s="43"/>
      <c r="D48" s="94">
        <v>468</v>
      </c>
      <c r="E48" s="43"/>
    </row>
    <row r="49" spans="1:5" ht="26.4">
      <c r="A49" s="15" t="s">
        <v>943</v>
      </c>
      <c r="B49" s="19" t="s">
        <v>944</v>
      </c>
      <c r="C49" s="43"/>
      <c r="D49" s="94">
        <v>481</v>
      </c>
      <c r="E49" s="43"/>
    </row>
    <row r="50" spans="1:5">
      <c r="B50" s="19" t="s">
        <v>945</v>
      </c>
      <c r="C50" s="43"/>
      <c r="D50" s="94">
        <v>481</v>
      </c>
      <c r="E50" s="43"/>
    </row>
    <row r="51" spans="1:5">
      <c r="A51" s="15">
        <v>27</v>
      </c>
      <c r="B51" s="19" t="s">
        <v>946</v>
      </c>
      <c r="C51" s="43"/>
      <c r="D51" s="94" t="s">
        <v>947</v>
      </c>
      <c r="E51" s="43"/>
    </row>
    <row r="52" spans="1:5">
      <c r="A52" s="15">
        <v>28</v>
      </c>
      <c r="B52" s="19" t="s">
        <v>948</v>
      </c>
      <c r="C52" s="43">
        <f>SUM(C18:C51)</f>
        <v>-18.351870999999999</v>
      </c>
      <c r="D52" s="94" t="s">
        <v>154</v>
      </c>
      <c r="E52" s="43"/>
    </row>
    <row r="53" spans="1:5">
      <c r="A53" s="15">
        <v>29</v>
      </c>
      <c r="B53" s="19" t="s">
        <v>949</v>
      </c>
      <c r="C53" s="43">
        <f>C15+C52</f>
        <v>166.74650600000001</v>
      </c>
      <c r="D53" s="94" t="s">
        <v>154</v>
      </c>
      <c r="E53" s="43"/>
    </row>
    <row r="54" spans="1:5">
      <c r="C54" s="43"/>
    </row>
    <row r="55" spans="1:5">
      <c r="A55" s="95" t="s">
        <v>950</v>
      </c>
      <c r="C55" s="43"/>
      <c r="E55" s="10" t="s">
        <v>154</v>
      </c>
    </row>
    <row r="56" spans="1:5">
      <c r="A56" s="15">
        <v>30</v>
      </c>
      <c r="B56" s="19" t="s">
        <v>861</v>
      </c>
      <c r="C56" s="43">
        <v>20</v>
      </c>
      <c r="D56" s="94" t="s">
        <v>951</v>
      </c>
      <c r="E56" s="10" t="s">
        <v>154</v>
      </c>
    </row>
    <row r="57" spans="1:5">
      <c r="A57" s="15">
        <v>31</v>
      </c>
      <c r="B57" s="19" t="s">
        <v>952</v>
      </c>
      <c r="C57" s="43">
        <v>0</v>
      </c>
      <c r="D57" s="94" t="s">
        <v>154</v>
      </c>
      <c r="E57" s="10" t="s">
        <v>154</v>
      </c>
    </row>
    <row r="58" spans="1:5">
      <c r="A58" s="15">
        <v>32</v>
      </c>
      <c r="B58" s="19" t="s">
        <v>953</v>
      </c>
      <c r="C58" s="43">
        <v>20</v>
      </c>
      <c r="E58" s="10" t="s">
        <v>154</v>
      </c>
    </row>
    <row r="59" spans="1:5">
      <c r="A59" s="15">
        <v>33</v>
      </c>
      <c r="B59" s="19" t="s">
        <v>954</v>
      </c>
      <c r="C59" s="43"/>
      <c r="D59" s="94" t="s">
        <v>955</v>
      </c>
    </row>
    <row r="60" spans="1:5">
      <c r="B60" s="19" t="s">
        <v>876</v>
      </c>
      <c r="C60" s="43"/>
      <c r="D60" s="94" t="s">
        <v>956</v>
      </c>
      <c r="E60" s="10" t="s">
        <v>154</v>
      </c>
    </row>
    <row r="61" spans="1:5" ht="26.4">
      <c r="A61" s="15">
        <v>34</v>
      </c>
      <c r="B61" s="19" t="s">
        <v>957</v>
      </c>
      <c r="C61" s="43"/>
      <c r="D61" s="94" t="s">
        <v>958</v>
      </c>
      <c r="E61" s="10" t="s">
        <v>154</v>
      </c>
    </row>
    <row r="62" spans="1:5">
      <c r="A62" s="15">
        <v>35</v>
      </c>
      <c r="B62" s="19" t="s">
        <v>959</v>
      </c>
      <c r="C62" s="43"/>
      <c r="D62" s="94" t="s">
        <v>955</v>
      </c>
      <c r="E62" s="10" t="s">
        <v>154</v>
      </c>
    </row>
    <row r="63" spans="1:5">
      <c r="A63" s="15">
        <v>36</v>
      </c>
      <c r="B63" s="19" t="s">
        <v>960</v>
      </c>
      <c r="C63" s="43">
        <v>20</v>
      </c>
      <c r="D63" s="94" t="s">
        <v>154</v>
      </c>
      <c r="E63" s="10" t="s">
        <v>154</v>
      </c>
    </row>
    <row r="64" spans="1:5">
      <c r="C64" s="43"/>
    </row>
    <row r="65" spans="1:5">
      <c r="A65" s="95" t="s">
        <v>961</v>
      </c>
      <c r="C65" s="43"/>
      <c r="E65" s="10" t="s">
        <v>154</v>
      </c>
    </row>
    <row r="66" spans="1:5">
      <c r="A66" s="15">
        <v>37</v>
      </c>
      <c r="B66" s="19" t="s">
        <v>962</v>
      </c>
      <c r="C66" s="43"/>
      <c r="D66" s="94" t="s">
        <v>963</v>
      </c>
      <c r="E66" s="10" t="s">
        <v>154</v>
      </c>
    </row>
    <row r="67" spans="1:5" ht="26.4">
      <c r="A67" s="15">
        <v>38</v>
      </c>
      <c r="B67" s="19" t="s">
        <v>964</v>
      </c>
      <c r="C67" s="43"/>
      <c r="D67" s="94" t="s">
        <v>965</v>
      </c>
      <c r="E67" s="10" t="s">
        <v>154</v>
      </c>
    </row>
    <row r="68" spans="1:5" ht="26.4">
      <c r="A68" s="15">
        <v>39</v>
      </c>
      <c r="B68" s="19" t="s">
        <v>966</v>
      </c>
      <c r="C68" s="43"/>
      <c r="D68" s="94" t="s">
        <v>967</v>
      </c>
      <c r="E68" s="10" t="s">
        <v>154</v>
      </c>
    </row>
    <row r="69" spans="1:5" ht="26.4">
      <c r="A69" s="15">
        <v>40</v>
      </c>
      <c r="B69" s="19" t="s">
        <v>968</v>
      </c>
      <c r="C69" s="43"/>
      <c r="D69" s="94" t="s">
        <v>969</v>
      </c>
      <c r="E69" s="10" t="s">
        <v>154</v>
      </c>
    </row>
    <row r="70" spans="1:5" ht="26.4">
      <c r="A70" s="15">
        <v>41</v>
      </c>
      <c r="B70" s="19" t="s">
        <v>970</v>
      </c>
      <c r="C70" s="43"/>
      <c r="D70" s="94" t="s">
        <v>154</v>
      </c>
      <c r="E70" s="10" t="s">
        <v>154</v>
      </c>
    </row>
    <row r="71" spans="1:5" ht="26.4">
      <c r="A71" s="15" t="s">
        <v>971</v>
      </c>
      <c r="B71" s="19" t="s">
        <v>972</v>
      </c>
      <c r="C71" s="43"/>
      <c r="D71" s="94" t="s">
        <v>973</v>
      </c>
    </row>
    <row r="72" spans="1:5">
      <c r="B72" s="19" t="s">
        <v>974</v>
      </c>
      <c r="C72" s="43"/>
      <c r="D72" s="94" t="s">
        <v>154</v>
      </c>
      <c r="E72" s="10" t="s">
        <v>154</v>
      </c>
    </row>
    <row r="73" spans="1:5" ht="26.4">
      <c r="A73" s="15" t="s">
        <v>975</v>
      </c>
      <c r="B73" s="19" t="s">
        <v>976</v>
      </c>
      <c r="C73" s="43"/>
      <c r="D73" s="94" t="s">
        <v>977</v>
      </c>
      <c r="E73" s="10" t="s">
        <v>154</v>
      </c>
    </row>
    <row r="74" spans="1:5" ht="26.4">
      <c r="B74" s="19" t="s">
        <v>978</v>
      </c>
      <c r="C74" s="43"/>
      <c r="D74" s="94" t="s">
        <v>154</v>
      </c>
      <c r="E74" s="10" t="s">
        <v>154</v>
      </c>
    </row>
    <row r="75" spans="1:5">
      <c r="A75" s="15" t="s">
        <v>979</v>
      </c>
      <c r="B75" s="19" t="s">
        <v>980</v>
      </c>
      <c r="C75" s="43"/>
      <c r="D75" s="94" t="s">
        <v>981</v>
      </c>
      <c r="E75" s="10" t="s">
        <v>154</v>
      </c>
    </row>
    <row r="76" spans="1:5">
      <c r="B76" s="19" t="s">
        <v>982</v>
      </c>
      <c r="C76" s="43"/>
      <c r="D76" s="94">
        <v>467</v>
      </c>
      <c r="E76" s="10" t="s">
        <v>154</v>
      </c>
    </row>
    <row r="77" spans="1:5">
      <c r="B77" s="19" t="s">
        <v>983</v>
      </c>
      <c r="C77" s="43"/>
      <c r="D77" s="94">
        <v>468</v>
      </c>
      <c r="E77" s="10" t="s">
        <v>154</v>
      </c>
    </row>
    <row r="78" spans="1:5">
      <c r="B78" s="19" t="s">
        <v>984</v>
      </c>
      <c r="C78" s="43"/>
      <c r="D78" s="94">
        <v>481</v>
      </c>
      <c r="E78" s="10" t="s">
        <v>154</v>
      </c>
    </row>
    <row r="79" spans="1:5">
      <c r="A79" s="15">
        <v>42</v>
      </c>
      <c r="B79" s="19" t="s">
        <v>985</v>
      </c>
      <c r="C79" s="43"/>
      <c r="D79" s="94" t="s">
        <v>986</v>
      </c>
      <c r="E79" s="10" t="s">
        <v>154</v>
      </c>
    </row>
    <row r="80" spans="1:5">
      <c r="A80" s="15">
        <v>43</v>
      </c>
      <c r="B80" s="19" t="s">
        <v>987</v>
      </c>
      <c r="C80" s="43">
        <f>SUM(C66:C79)</f>
        <v>0</v>
      </c>
      <c r="D80" s="94" t="s">
        <v>154</v>
      </c>
      <c r="E80" s="10" t="s">
        <v>154</v>
      </c>
    </row>
    <row r="81" spans="1:5">
      <c r="A81" s="15">
        <v>44</v>
      </c>
      <c r="B81" s="19" t="s">
        <v>988</v>
      </c>
      <c r="C81" s="43">
        <f>C63+C80</f>
        <v>20</v>
      </c>
      <c r="D81" s="94" t="s">
        <v>154</v>
      </c>
      <c r="E81" s="10" t="s">
        <v>154</v>
      </c>
    </row>
    <row r="82" spans="1:5">
      <c r="A82" s="15">
        <v>45</v>
      </c>
      <c r="B82" s="19" t="s">
        <v>989</v>
      </c>
      <c r="C82" s="43">
        <f>C53+C81</f>
        <v>186.74650600000001</v>
      </c>
      <c r="D82" s="94" t="s">
        <v>154</v>
      </c>
      <c r="E82" s="10" t="s">
        <v>154</v>
      </c>
    </row>
    <row r="83" spans="1:5">
      <c r="C83" s="43"/>
    </row>
    <row r="84" spans="1:5">
      <c r="A84" s="95" t="s">
        <v>990</v>
      </c>
      <c r="C84" s="43"/>
      <c r="E84" s="10" t="s">
        <v>154</v>
      </c>
    </row>
    <row r="85" spans="1:5">
      <c r="A85" s="15">
        <v>46</v>
      </c>
      <c r="B85" s="19" t="s">
        <v>861</v>
      </c>
      <c r="C85" s="43">
        <v>55</v>
      </c>
      <c r="D85" s="94" t="s">
        <v>991</v>
      </c>
    </row>
    <row r="86" spans="1:5">
      <c r="A86" s="15">
        <v>47</v>
      </c>
      <c r="B86" s="19" t="s">
        <v>992</v>
      </c>
      <c r="C86" s="43"/>
      <c r="D86" s="94" t="s">
        <v>993</v>
      </c>
    </row>
    <row r="87" spans="1:5">
      <c r="B87" s="19" t="s">
        <v>876</v>
      </c>
      <c r="C87" s="43"/>
      <c r="D87" s="94" t="s">
        <v>994</v>
      </c>
    </row>
    <row r="88" spans="1:5" ht="26.4">
      <c r="A88" s="15">
        <v>48</v>
      </c>
      <c r="B88" s="19" t="s">
        <v>995</v>
      </c>
      <c r="C88" s="43"/>
      <c r="D88" s="94" t="s">
        <v>996</v>
      </c>
    </row>
    <row r="89" spans="1:5">
      <c r="A89" s="15">
        <v>49</v>
      </c>
      <c r="B89" s="19" t="s">
        <v>997</v>
      </c>
      <c r="C89" s="43"/>
      <c r="D89" s="94" t="s">
        <v>993</v>
      </c>
    </row>
    <row r="90" spans="1:5">
      <c r="A90" s="15">
        <v>50</v>
      </c>
      <c r="B90" s="19" t="s">
        <v>998</v>
      </c>
      <c r="C90" s="43"/>
      <c r="D90" s="94" t="s">
        <v>999</v>
      </c>
      <c r="E90" s="10" t="s">
        <v>154</v>
      </c>
    </row>
    <row r="91" spans="1:5">
      <c r="A91" s="15">
        <v>51</v>
      </c>
      <c r="B91" s="19" t="s">
        <v>1000</v>
      </c>
      <c r="C91" s="43">
        <f>SUM(C85:C90)</f>
        <v>55</v>
      </c>
      <c r="D91" s="94" t="s">
        <v>154</v>
      </c>
      <c r="E91" s="10" t="s">
        <v>154</v>
      </c>
    </row>
    <row r="92" spans="1:5">
      <c r="C92" s="43"/>
    </row>
    <row r="93" spans="1:5">
      <c r="A93" s="95" t="s">
        <v>1001</v>
      </c>
      <c r="C93" s="43"/>
      <c r="E93" s="10" t="s">
        <v>154</v>
      </c>
    </row>
    <row r="94" spans="1:5">
      <c r="A94" s="15">
        <v>52</v>
      </c>
      <c r="B94" s="19" t="s">
        <v>1002</v>
      </c>
      <c r="C94" s="43"/>
      <c r="D94" s="94" t="s">
        <v>1003</v>
      </c>
      <c r="E94" s="10" t="s">
        <v>154</v>
      </c>
    </row>
    <row r="95" spans="1:5" ht="26.4">
      <c r="A95" s="15">
        <v>53</v>
      </c>
      <c r="B95" s="19" t="s">
        <v>1004</v>
      </c>
      <c r="C95" s="43"/>
      <c r="D95" s="94" t="s">
        <v>1005</v>
      </c>
      <c r="E95" s="10" t="s">
        <v>154</v>
      </c>
    </row>
    <row r="96" spans="1:5" ht="26.4">
      <c r="A96" s="15">
        <v>54</v>
      </c>
      <c r="B96" s="19" t="s">
        <v>1006</v>
      </c>
      <c r="C96" s="43"/>
      <c r="D96" s="94" t="s">
        <v>1007</v>
      </c>
      <c r="E96" s="10" t="s">
        <v>154</v>
      </c>
    </row>
    <row r="97" spans="1:5">
      <c r="A97" s="15" t="s">
        <v>1008</v>
      </c>
      <c r="B97" s="19" t="s">
        <v>1009</v>
      </c>
      <c r="C97" s="43"/>
      <c r="D97" s="94" t="s">
        <v>154</v>
      </c>
      <c r="E97" s="10" t="s">
        <v>154</v>
      </c>
    </row>
    <row r="98" spans="1:5">
      <c r="A98" s="15" t="s">
        <v>1010</v>
      </c>
      <c r="B98" s="19" t="s">
        <v>1011</v>
      </c>
      <c r="C98" s="43"/>
      <c r="D98" s="94" t="s">
        <v>154</v>
      </c>
      <c r="E98" s="10" t="s">
        <v>154</v>
      </c>
    </row>
    <row r="99" spans="1:5" ht="26.4">
      <c r="A99" s="15">
        <v>55</v>
      </c>
      <c r="B99" s="19" t="s">
        <v>1012</v>
      </c>
      <c r="C99" s="43"/>
      <c r="D99" s="94" t="s">
        <v>1013</v>
      </c>
    </row>
    <row r="100" spans="1:5" ht="26.4">
      <c r="A100" s="15">
        <v>56</v>
      </c>
      <c r="B100" s="19" t="s">
        <v>1014</v>
      </c>
      <c r="C100" s="43"/>
      <c r="D100" s="94" t="s">
        <v>154</v>
      </c>
      <c r="E100" s="10" t="s">
        <v>154</v>
      </c>
    </row>
    <row r="101" spans="1:5" ht="26.4">
      <c r="A101" s="15" t="s">
        <v>1015</v>
      </c>
      <c r="B101" s="19" t="s">
        <v>1016</v>
      </c>
      <c r="C101" s="43"/>
      <c r="D101" s="94" t="s">
        <v>973</v>
      </c>
    </row>
    <row r="102" spans="1:5">
      <c r="B102" s="19" t="s">
        <v>974</v>
      </c>
      <c r="C102" s="43"/>
      <c r="D102" s="94" t="s">
        <v>154</v>
      </c>
      <c r="E102" s="10" t="s">
        <v>154</v>
      </c>
    </row>
    <row r="103" spans="1:5" ht="26.4">
      <c r="A103" s="15" t="s">
        <v>1017</v>
      </c>
      <c r="B103" s="19" t="s">
        <v>1018</v>
      </c>
      <c r="C103" s="43"/>
      <c r="D103" s="94" t="s">
        <v>1019</v>
      </c>
      <c r="E103" s="10" t="s">
        <v>154</v>
      </c>
    </row>
    <row r="104" spans="1:5" ht="26.4">
      <c r="B104" s="19" t="s">
        <v>1020</v>
      </c>
      <c r="C104" s="43"/>
      <c r="D104" s="94" t="s">
        <v>154</v>
      </c>
      <c r="E104" s="10" t="s">
        <v>154</v>
      </c>
    </row>
    <row r="105" spans="1:5">
      <c r="A105" s="15" t="s">
        <v>1021</v>
      </c>
      <c r="B105" s="19" t="s">
        <v>1022</v>
      </c>
      <c r="C105" s="43"/>
      <c r="D105" s="94" t="s">
        <v>981</v>
      </c>
      <c r="E105" s="10" t="s">
        <v>154</v>
      </c>
    </row>
    <row r="106" spans="1:5">
      <c r="B106" s="19" t="s">
        <v>982</v>
      </c>
      <c r="C106" s="43"/>
      <c r="D106" s="94">
        <v>467</v>
      </c>
      <c r="E106" s="10" t="s">
        <v>154</v>
      </c>
    </row>
    <row r="107" spans="1:5">
      <c r="B107" s="19" t="s">
        <v>983</v>
      </c>
      <c r="C107" s="43"/>
      <c r="D107" s="94">
        <v>468</v>
      </c>
      <c r="E107" s="10" t="s">
        <v>154</v>
      </c>
    </row>
    <row r="108" spans="1:5">
      <c r="B108" s="19" t="s">
        <v>984</v>
      </c>
      <c r="C108" s="43"/>
      <c r="D108" s="94">
        <v>481</v>
      </c>
      <c r="E108" s="10" t="s">
        <v>154</v>
      </c>
    </row>
    <row r="109" spans="1:5">
      <c r="A109" s="15">
        <v>57</v>
      </c>
      <c r="B109" s="19" t="s">
        <v>1023</v>
      </c>
      <c r="C109" s="43">
        <f>SUM(C94:C108)</f>
        <v>0</v>
      </c>
      <c r="D109" s="94" t="s">
        <v>154</v>
      </c>
      <c r="E109" s="10" t="s">
        <v>154</v>
      </c>
    </row>
    <row r="110" spans="1:5">
      <c r="A110" s="15">
        <v>58</v>
      </c>
      <c r="B110" s="19" t="s">
        <v>1024</v>
      </c>
      <c r="C110" s="43">
        <f>C91+C109</f>
        <v>55</v>
      </c>
      <c r="D110" s="94" t="s">
        <v>154</v>
      </c>
      <c r="E110" s="10" t="s">
        <v>154</v>
      </c>
    </row>
    <row r="111" spans="1:5">
      <c r="A111" s="15">
        <v>59</v>
      </c>
      <c r="B111" s="19" t="s">
        <v>1025</v>
      </c>
      <c r="C111" s="43">
        <f>C82+C110</f>
        <v>241.74650600000001</v>
      </c>
      <c r="D111" s="94" t="s">
        <v>154</v>
      </c>
      <c r="E111" s="10" t="s">
        <v>154</v>
      </c>
    </row>
    <row r="112" spans="1:5" ht="26.4">
      <c r="A112" s="15" t="s">
        <v>1026</v>
      </c>
      <c r="B112" s="19" t="s">
        <v>1027</v>
      </c>
      <c r="C112" s="43"/>
      <c r="E112" s="10" t="s">
        <v>154</v>
      </c>
    </row>
    <row r="113" spans="1:8" ht="52.8">
      <c r="B113" s="19" t="s">
        <v>1028</v>
      </c>
      <c r="C113" s="43"/>
      <c r="D113" s="94" t="s">
        <v>1029</v>
      </c>
      <c r="E113" s="10" t="s">
        <v>154</v>
      </c>
    </row>
    <row r="114" spans="1:8" ht="52.8">
      <c r="B114" s="19" t="s">
        <v>1030</v>
      </c>
      <c r="C114" s="43"/>
      <c r="D114" s="94" t="s">
        <v>1031</v>
      </c>
      <c r="E114" s="10" t="s">
        <v>154</v>
      </c>
    </row>
    <row r="115" spans="1:8">
      <c r="B115" s="19" t="s">
        <v>1032</v>
      </c>
      <c r="C115" s="43"/>
    </row>
    <row r="116" spans="1:8" ht="52.8">
      <c r="B116" s="19" t="s">
        <v>1033</v>
      </c>
      <c r="C116" s="43"/>
      <c r="D116" s="94" t="s">
        <v>1034</v>
      </c>
      <c r="E116" s="10" t="s">
        <v>154</v>
      </c>
    </row>
    <row r="117" spans="1:8">
      <c r="A117" s="15">
        <v>60</v>
      </c>
      <c r="B117" s="19" t="s">
        <v>1035</v>
      </c>
      <c r="C117" s="43">
        <v>1345.899619</v>
      </c>
      <c r="E117" s="10" t="s">
        <v>154</v>
      </c>
    </row>
    <row r="118" spans="1:8">
      <c r="C118" s="43"/>
    </row>
    <row r="119" spans="1:8">
      <c r="A119" s="95" t="s">
        <v>1036</v>
      </c>
      <c r="C119" s="43"/>
      <c r="E119" s="10" t="s">
        <v>154</v>
      </c>
    </row>
    <row r="120" spans="1:8">
      <c r="A120" s="15">
        <v>61</v>
      </c>
      <c r="B120" s="19" t="s">
        <v>1037</v>
      </c>
      <c r="C120" s="202">
        <v>0.12391695073653185</v>
      </c>
      <c r="D120" s="94" t="s">
        <v>1038</v>
      </c>
      <c r="E120" s="10" t="s">
        <v>154</v>
      </c>
      <c r="H120" s="201" t="s">
        <v>1209</v>
      </c>
    </row>
    <row r="121" spans="1:8">
      <c r="A121" s="15">
        <v>62</v>
      </c>
      <c r="B121" s="19" t="s">
        <v>1039</v>
      </c>
      <c r="C121" s="202">
        <v>0.13877689996131873</v>
      </c>
      <c r="D121" s="94" t="s">
        <v>1040</v>
      </c>
      <c r="E121" s="10" t="s">
        <v>154</v>
      </c>
      <c r="H121" s="201" t="s">
        <v>1209</v>
      </c>
    </row>
    <row r="122" spans="1:8">
      <c r="A122" s="15">
        <v>63</v>
      </c>
      <c r="B122" s="19" t="s">
        <v>1041</v>
      </c>
      <c r="C122" s="202">
        <v>0.17964176032948262</v>
      </c>
      <c r="D122" s="94" t="s">
        <v>1042</v>
      </c>
      <c r="E122" s="10" t="s">
        <v>154</v>
      </c>
      <c r="H122" s="201" t="s">
        <v>1209</v>
      </c>
    </row>
    <row r="123" spans="1:8" ht="39.6">
      <c r="A123" s="15">
        <v>64</v>
      </c>
      <c r="B123" s="19" t="s">
        <v>1043</v>
      </c>
      <c r="C123" s="200">
        <v>9.2799999999999994E-2</v>
      </c>
      <c r="D123" s="94" t="s">
        <v>1044</v>
      </c>
      <c r="E123" s="10" t="s">
        <v>154</v>
      </c>
      <c r="H123" s="201" t="s">
        <v>1209</v>
      </c>
    </row>
    <row r="124" spans="1:8">
      <c r="A124" s="15">
        <v>65</v>
      </c>
      <c r="B124" s="19" t="s">
        <v>1045</v>
      </c>
      <c r="C124" s="202">
        <v>2.5000000000000001E-2</v>
      </c>
      <c r="D124" s="94" t="s">
        <v>154</v>
      </c>
      <c r="E124" s="10" t="s">
        <v>154</v>
      </c>
      <c r="H124" s="201" t="s">
        <v>1209</v>
      </c>
    </row>
    <row r="125" spans="1:8">
      <c r="A125" s="15">
        <v>66</v>
      </c>
      <c r="B125" s="19" t="s">
        <v>1046</v>
      </c>
      <c r="C125" s="202">
        <v>0</v>
      </c>
      <c r="D125" s="94" t="s">
        <v>154</v>
      </c>
      <c r="E125" s="10" t="s">
        <v>154</v>
      </c>
      <c r="H125" s="201" t="s">
        <v>1209</v>
      </c>
    </row>
    <row r="126" spans="1:8">
      <c r="A126" s="15">
        <v>67</v>
      </c>
      <c r="B126" s="19" t="s">
        <v>1047</v>
      </c>
      <c r="C126" s="202">
        <v>0.01</v>
      </c>
      <c r="D126" s="94" t="s">
        <v>154</v>
      </c>
      <c r="E126" s="10" t="s">
        <v>154</v>
      </c>
      <c r="H126" s="201" t="s">
        <v>1209</v>
      </c>
    </row>
    <row r="127" spans="1:8">
      <c r="A127" s="15" t="s">
        <v>1048</v>
      </c>
      <c r="B127" s="19" t="s">
        <v>1049</v>
      </c>
      <c r="C127" s="202">
        <v>0.01</v>
      </c>
      <c r="D127" s="94" t="s">
        <v>1050</v>
      </c>
      <c r="E127" s="10" t="s">
        <v>154</v>
      </c>
      <c r="H127" s="201" t="s">
        <v>1209</v>
      </c>
    </row>
    <row r="128" spans="1:8">
      <c r="A128" s="15">
        <v>68</v>
      </c>
      <c r="B128" s="19" t="s">
        <v>1051</v>
      </c>
      <c r="C128" s="58"/>
      <c r="D128" s="94" t="s">
        <v>1052</v>
      </c>
      <c r="E128" s="10" t="s">
        <v>154</v>
      </c>
    </row>
    <row r="129" spans="1:5">
      <c r="A129" s="15">
        <v>69</v>
      </c>
      <c r="B129" s="19" t="s">
        <v>1053</v>
      </c>
      <c r="C129" s="43" t="s">
        <v>890</v>
      </c>
      <c r="E129" s="10" t="s">
        <v>154</v>
      </c>
    </row>
    <row r="130" spans="1:5">
      <c r="A130" s="15">
        <v>70</v>
      </c>
      <c r="B130" s="19" t="s">
        <v>1053</v>
      </c>
      <c r="C130" s="43" t="s">
        <v>890</v>
      </c>
      <c r="E130" s="10" t="s">
        <v>154</v>
      </c>
    </row>
    <row r="131" spans="1:5">
      <c r="A131" s="15">
        <v>71</v>
      </c>
      <c r="B131" s="19" t="s">
        <v>1053</v>
      </c>
      <c r="C131" s="43" t="s">
        <v>890</v>
      </c>
      <c r="E131" s="10" t="s">
        <v>154</v>
      </c>
    </row>
    <row r="132" spans="1:5">
      <c r="C132" s="43"/>
    </row>
    <row r="133" spans="1:5">
      <c r="A133" s="95" t="s">
        <v>1054</v>
      </c>
      <c r="C133" s="43"/>
      <c r="E133" s="10" t="s">
        <v>154</v>
      </c>
    </row>
    <row r="134" spans="1:5" ht="39.6">
      <c r="A134" s="15">
        <v>72</v>
      </c>
      <c r="B134" s="19" t="s">
        <v>1055</v>
      </c>
      <c r="C134" s="43" t="s">
        <v>154</v>
      </c>
      <c r="D134" s="94" t="s">
        <v>1056</v>
      </c>
      <c r="E134" s="10" t="s">
        <v>154</v>
      </c>
    </row>
    <row r="135" spans="1:5" ht="26.4">
      <c r="A135" s="15">
        <v>73</v>
      </c>
      <c r="B135" s="19" t="s">
        <v>1057</v>
      </c>
      <c r="C135" s="43" t="s">
        <v>154</v>
      </c>
      <c r="D135" s="94" t="s">
        <v>1058</v>
      </c>
      <c r="E135" s="10" t="s">
        <v>154</v>
      </c>
    </row>
    <row r="136" spans="1:5">
      <c r="A136" s="15">
        <v>74</v>
      </c>
      <c r="B136" s="19" t="s">
        <v>889</v>
      </c>
      <c r="C136" s="43" t="s">
        <v>154</v>
      </c>
      <c r="D136" s="94" t="s">
        <v>154</v>
      </c>
      <c r="E136" s="10" t="s">
        <v>154</v>
      </c>
    </row>
    <row r="137" spans="1:5" ht="26.4">
      <c r="A137" s="15">
        <v>75</v>
      </c>
      <c r="B137" s="19" t="s">
        <v>1059</v>
      </c>
      <c r="C137" s="43"/>
      <c r="D137" s="94" t="s">
        <v>1060</v>
      </c>
      <c r="E137" s="10" t="s">
        <v>154</v>
      </c>
    </row>
    <row r="138" spans="1:5">
      <c r="A138" s="95" t="s">
        <v>1061</v>
      </c>
      <c r="C138" s="43"/>
      <c r="E138" s="10" t="s">
        <v>154</v>
      </c>
    </row>
    <row r="139" spans="1:5">
      <c r="A139" s="15">
        <v>76</v>
      </c>
      <c r="B139" s="19" t="s">
        <v>1062</v>
      </c>
      <c r="C139" s="43"/>
      <c r="D139" s="94">
        <v>62</v>
      </c>
      <c r="E139" s="10" t="s">
        <v>154</v>
      </c>
    </row>
    <row r="140" spans="1:5">
      <c r="A140" s="15">
        <v>77</v>
      </c>
      <c r="B140" s="19" t="s">
        <v>1063</v>
      </c>
      <c r="C140" s="43"/>
      <c r="D140" s="94">
        <v>62</v>
      </c>
      <c r="E140" s="10" t="s">
        <v>154</v>
      </c>
    </row>
    <row r="141" spans="1:5" ht="26.4">
      <c r="A141" s="15">
        <v>78</v>
      </c>
      <c r="B141" s="19" t="s">
        <v>1064</v>
      </c>
      <c r="C141" s="43"/>
      <c r="D141" s="94">
        <v>62</v>
      </c>
      <c r="E141" s="10" t="s">
        <v>154</v>
      </c>
    </row>
    <row r="142" spans="1:5">
      <c r="A142" s="15">
        <v>79</v>
      </c>
      <c r="B142" s="19" t="s">
        <v>1065</v>
      </c>
      <c r="C142" s="43"/>
      <c r="D142" s="94">
        <v>62</v>
      </c>
      <c r="E142" s="10" t="s">
        <v>154</v>
      </c>
    </row>
    <row r="143" spans="1:5">
      <c r="C143" s="43"/>
    </row>
    <row r="144" spans="1:5">
      <c r="A144" s="95" t="s">
        <v>1066</v>
      </c>
      <c r="C144" s="43"/>
      <c r="E144" s="10" t="s">
        <v>154</v>
      </c>
    </row>
    <row r="145" spans="1:5">
      <c r="A145" s="15">
        <v>80</v>
      </c>
      <c r="B145" s="19" t="s">
        <v>1067</v>
      </c>
      <c r="C145" s="43"/>
      <c r="D145" s="94" t="s">
        <v>1068</v>
      </c>
      <c r="E145" s="10" t="s">
        <v>154</v>
      </c>
    </row>
    <row r="146" spans="1:5">
      <c r="A146" s="15">
        <v>81</v>
      </c>
      <c r="B146" s="19" t="s">
        <v>1069</v>
      </c>
      <c r="C146" s="43"/>
      <c r="D146" s="94" t="s">
        <v>1068</v>
      </c>
      <c r="E146" s="10" t="s">
        <v>154</v>
      </c>
    </row>
    <row r="147" spans="1:5">
      <c r="A147" s="15">
        <v>82</v>
      </c>
      <c r="B147" s="19" t="s">
        <v>1070</v>
      </c>
      <c r="C147" s="43"/>
      <c r="D147" s="94" t="s">
        <v>1071</v>
      </c>
      <c r="E147" s="10" t="s">
        <v>154</v>
      </c>
    </row>
    <row r="148" spans="1:5">
      <c r="A148" s="15">
        <v>83</v>
      </c>
      <c r="B148" s="19" t="s">
        <v>1072</v>
      </c>
      <c r="C148" s="43"/>
      <c r="D148" s="94" t="s">
        <v>1071</v>
      </c>
      <c r="E148" s="10" t="s">
        <v>154</v>
      </c>
    </row>
    <row r="149" spans="1:5">
      <c r="A149" s="15">
        <v>84</v>
      </c>
      <c r="B149" s="19" t="s">
        <v>1073</v>
      </c>
      <c r="C149" s="43"/>
      <c r="D149" s="94" t="s">
        <v>1074</v>
      </c>
      <c r="E149" s="10" t="s">
        <v>154</v>
      </c>
    </row>
    <row r="150" spans="1:5">
      <c r="A150" s="15">
        <v>85</v>
      </c>
      <c r="B150" s="19" t="s">
        <v>1075</v>
      </c>
      <c r="C150" s="43"/>
      <c r="D150" s="94" t="s">
        <v>1074</v>
      </c>
      <c r="E150" s="10" t="s">
        <v>154</v>
      </c>
    </row>
    <row r="151" spans="1:5">
      <c r="C151" s="43"/>
    </row>
    <row r="152" spans="1:5">
      <c r="C152" s="43"/>
    </row>
  </sheetData>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77"/>
  <sheetViews>
    <sheetView workbookViewId="0">
      <selection activeCell="F17" sqref="F17"/>
    </sheetView>
  </sheetViews>
  <sheetFormatPr defaultColWidth="9.109375" defaultRowHeight="13.2"/>
  <cols>
    <col min="1" max="1" width="8.109375" style="15" customWidth="1"/>
    <col min="2" max="2" width="154.109375" style="10" customWidth="1"/>
    <col min="3" max="3" width="26.33203125" style="10" customWidth="1"/>
    <col min="4" max="16384" width="9.109375" style="10"/>
  </cols>
  <sheetData>
    <row r="1" spans="1:67">
      <c r="A1" s="96" t="s">
        <v>1076</v>
      </c>
    </row>
    <row r="5" spans="1:67">
      <c r="A5" s="16" t="s">
        <v>1444</v>
      </c>
      <c r="B5" s="12"/>
      <c r="C5" s="16" t="s">
        <v>1077</v>
      </c>
      <c r="G5" s="15"/>
      <c r="J5" s="15"/>
      <c r="M5" s="15"/>
      <c r="P5" s="15"/>
      <c r="S5" s="15"/>
      <c r="V5" s="15"/>
      <c r="Y5" s="15"/>
      <c r="AB5" s="15"/>
      <c r="AE5" s="15"/>
      <c r="AH5" s="15"/>
      <c r="AK5" s="15"/>
      <c r="AN5" s="15"/>
      <c r="AQ5" s="15"/>
      <c r="AT5" s="15"/>
      <c r="AW5" s="15"/>
      <c r="AZ5" s="15"/>
      <c r="BC5" s="15"/>
      <c r="BF5" s="15"/>
      <c r="BI5" s="15"/>
      <c r="BL5" s="15"/>
      <c r="BO5" s="15"/>
    </row>
    <row r="6" spans="1:67">
      <c r="A6" s="15">
        <v>1</v>
      </c>
      <c r="B6" s="10" t="s">
        <v>1078</v>
      </c>
      <c r="C6" s="43">
        <v>3031912</v>
      </c>
      <c r="G6" s="15"/>
      <c r="J6" s="15"/>
      <c r="M6" s="15"/>
      <c r="P6" s="15"/>
      <c r="S6" s="15"/>
      <c r="V6" s="15"/>
      <c r="Y6" s="15"/>
      <c r="AB6" s="15"/>
      <c r="AE6" s="15"/>
      <c r="AH6" s="15"/>
      <c r="AK6" s="15"/>
      <c r="AN6" s="15"/>
      <c r="AQ6" s="15"/>
      <c r="AT6" s="15"/>
      <c r="AW6" s="15"/>
      <c r="AZ6" s="15"/>
      <c r="BC6" s="15"/>
      <c r="BF6" s="15"/>
      <c r="BI6" s="15"/>
      <c r="BL6" s="15"/>
      <c r="BO6" s="15"/>
    </row>
    <row r="7" spans="1:67">
      <c r="A7" s="15">
        <v>5</v>
      </c>
      <c r="B7" s="10" t="s">
        <v>1079</v>
      </c>
      <c r="C7" s="43">
        <v>-5945.3253299999997</v>
      </c>
      <c r="G7" s="15"/>
      <c r="J7" s="15"/>
      <c r="M7" s="15"/>
      <c r="P7" s="15"/>
      <c r="S7" s="15"/>
      <c r="V7" s="15"/>
      <c r="Y7" s="15"/>
      <c r="AB7" s="15"/>
      <c r="AE7" s="15"/>
      <c r="AH7" s="15"/>
      <c r="AK7" s="15"/>
      <c r="AN7" s="15"/>
      <c r="AQ7" s="15"/>
      <c r="AT7" s="15"/>
      <c r="AW7" s="15"/>
      <c r="AZ7" s="15"/>
      <c r="BC7" s="15"/>
      <c r="BF7" s="15"/>
      <c r="BI7" s="15"/>
      <c r="BL7" s="15"/>
      <c r="BO7" s="15"/>
    </row>
    <row r="8" spans="1:67">
      <c r="A8" s="15">
        <v>6</v>
      </c>
      <c r="B8" s="10" t="s">
        <v>1080</v>
      </c>
      <c r="C8" s="43">
        <f>C9-+C7-C6</f>
        <v>10996.476625999901</v>
      </c>
      <c r="G8" s="15"/>
      <c r="J8" s="15"/>
      <c r="M8" s="15"/>
      <c r="P8" s="15"/>
      <c r="S8" s="15"/>
      <c r="V8" s="15"/>
      <c r="Y8" s="15"/>
      <c r="AB8" s="15"/>
      <c r="AE8" s="15"/>
      <c r="AH8" s="15"/>
      <c r="AK8" s="15"/>
      <c r="AN8" s="15"/>
      <c r="AQ8" s="15"/>
      <c r="AT8" s="15"/>
      <c r="AW8" s="15"/>
      <c r="AZ8" s="15"/>
      <c r="BC8" s="15"/>
      <c r="BF8" s="15"/>
      <c r="BI8" s="15"/>
      <c r="BL8" s="15"/>
      <c r="BO8" s="15"/>
    </row>
    <row r="9" spans="1:67">
      <c r="A9" s="15">
        <v>8</v>
      </c>
      <c r="B9" s="10" t="s">
        <v>1081</v>
      </c>
      <c r="C9" s="43">
        <v>3036963.151296</v>
      </c>
      <c r="G9" s="15"/>
      <c r="J9" s="15"/>
      <c r="M9" s="15"/>
      <c r="P9" s="15"/>
      <c r="S9" s="15"/>
      <c r="V9" s="15"/>
      <c r="Y9" s="15"/>
      <c r="AB9" s="15"/>
      <c r="AE9" s="15"/>
      <c r="AH9" s="15"/>
      <c r="AK9" s="15"/>
      <c r="AN9" s="15"/>
      <c r="AQ9" s="15"/>
      <c r="AT9" s="15"/>
      <c r="AW9" s="15"/>
      <c r="AZ9" s="15"/>
      <c r="BC9" s="15"/>
      <c r="BF9" s="15"/>
      <c r="BI9" s="15"/>
      <c r="BL9" s="15"/>
      <c r="BO9" s="15"/>
    </row>
    <row r="10" spans="1:67">
      <c r="G10" s="15"/>
      <c r="J10" s="15"/>
      <c r="M10" s="15"/>
      <c r="P10" s="15"/>
      <c r="S10" s="15"/>
      <c r="V10" s="15"/>
      <c r="Y10" s="15"/>
      <c r="AB10" s="15"/>
      <c r="AE10" s="15"/>
      <c r="AH10" s="15"/>
      <c r="AK10" s="15"/>
      <c r="AN10" s="15"/>
      <c r="AQ10" s="15"/>
      <c r="AT10" s="15"/>
      <c r="AW10" s="15"/>
      <c r="AZ10" s="15"/>
      <c r="BC10" s="15"/>
      <c r="BF10" s="15"/>
      <c r="BI10" s="15"/>
      <c r="BL10" s="15"/>
      <c r="BO10" s="15"/>
    </row>
    <row r="11" spans="1:67">
      <c r="A11" s="10" t="s">
        <v>1082</v>
      </c>
      <c r="G11" s="15"/>
      <c r="J11" s="15"/>
      <c r="M11" s="15"/>
      <c r="P11" s="15"/>
      <c r="S11" s="15"/>
      <c r="V11" s="15"/>
      <c r="Y11" s="15"/>
      <c r="AB11" s="15"/>
      <c r="AE11" s="15"/>
      <c r="AH11" s="15"/>
      <c r="AK11" s="15"/>
      <c r="AN11" s="15"/>
      <c r="AQ11" s="15"/>
      <c r="AT11" s="15"/>
      <c r="AW11" s="15"/>
      <c r="AZ11" s="15"/>
      <c r="BC11" s="15"/>
      <c r="BF11" s="15"/>
      <c r="BI11" s="15"/>
      <c r="BL11" s="15"/>
      <c r="BO11" s="15"/>
    </row>
    <row r="12" spans="1:67">
      <c r="A12" s="16" t="s">
        <v>1444</v>
      </c>
      <c r="B12" s="12"/>
      <c r="C12" s="12" t="s">
        <v>1083</v>
      </c>
      <c r="G12" s="15"/>
      <c r="J12" s="15"/>
      <c r="M12" s="15"/>
      <c r="P12" s="15"/>
      <c r="S12" s="15"/>
      <c r="V12" s="15"/>
      <c r="Y12" s="15"/>
      <c r="AB12" s="15"/>
      <c r="AE12" s="15"/>
      <c r="AH12" s="15"/>
      <c r="AK12" s="15"/>
      <c r="AN12" s="15"/>
      <c r="AQ12" s="15"/>
      <c r="AT12" s="15"/>
      <c r="AW12" s="15"/>
      <c r="AZ12" s="15"/>
      <c r="BC12" s="15"/>
      <c r="BF12" s="15"/>
      <c r="BI12" s="15"/>
      <c r="BL12" s="15"/>
      <c r="BO12" s="15"/>
    </row>
    <row r="13" spans="1:67">
      <c r="A13" s="10" t="s">
        <v>1084</v>
      </c>
      <c r="C13" s="43">
        <f>C27</f>
        <v>2978553.3231100002</v>
      </c>
      <c r="G13" s="15"/>
      <c r="J13" s="15"/>
      <c r="M13" s="15"/>
      <c r="P13" s="15"/>
      <c r="S13" s="15"/>
      <c r="V13" s="15"/>
      <c r="Y13" s="15"/>
      <c r="AB13" s="15"/>
      <c r="AE13" s="15"/>
      <c r="AH13" s="15"/>
      <c r="AK13" s="15"/>
      <c r="AN13" s="15"/>
      <c r="AQ13" s="15"/>
      <c r="AT13" s="15"/>
      <c r="AW13" s="15"/>
      <c r="AZ13" s="15"/>
      <c r="BC13" s="15"/>
      <c r="BF13" s="15"/>
      <c r="BI13" s="15"/>
      <c r="BL13" s="15"/>
      <c r="BO13" s="15"/>
    </row>
    <row r="14" spans="1:67">
      <c r="A14" s="10" t="s">
        <v>1085</v>
      </c>
      <c r="C14" s="43">
        <v>159</v>
      </c>
      <c r="G14" s="15"/>
      <c r="J14" s="15"/>
      <c r="M14" s="15"/>
      <c r="P14" s="15"/>
      <c r="S14" s="15"/>
      <c r="V14" s="15"/>
      <c r="Y14" s="15"/>
      <c r="AB14" s="15"/>
      <c r="AE14" s="15"/>
      <c r="AH14" s="15"/>
      <c r="AK14" s="15"/>
      <c r="AN14" s="15"/>
      <c r="AQ14" s="15"/>
      <c r="AT14" s="15"/>
      <c r="AW14" s="15"/>
      <c r="AZ14" s="15"/>
      <c r="BC14" s="15"/>
      <c r="BF14" s="15"/>
      <c r="BI14" s="15"/>
      <c r="BL14" s="15"/>
      <c r="BO14" s="15"/>
    </row>
    <row r="15" spans="1:67">
      <c r="A15" s="15">
        <v>1</v>
      </c>
      <c r="B15" s="10" t="s">
        <v>1086</v>
      </c>
      <c r="C15" s="43">
        <v>2.149</v>
      </c>
      <c r="G15" s="15"/>
      <c r="J15" s="15"/>
      <c r="M15" s="15"/>
      <c r="P15" s="15"/>
      <c r="S15" s="15"/>
      <c r="V15" s="15"/>
      <c r="Y15" s="15"/>
      <c r="AB15" s="15"/>
      <c r="AE15" s="15"/>
      <c r="AH15" s="15"/>
      <c r="AK15" s="15"/>
      <c r="AN15" s="15"/>
      <c r="AQ15" s="15"/>
      <c r="AT15" s="15"/>
      <c r="AW15" s="15"/>
      <c r="AZ15" s="15"/>
      <c r="BC15" s="15"/>
      <c r="BF15" s="15"/>
      <c r="BI15" s="15"/>
      <c r="BL15" s="15"/>
      <c r="BO15" s="15"/>
    </row>
    <row r="16" spans="1:67">
      <c r="A16" s="15">
        <v>2</v>
      </c>
      <c r="B16" s="10" t="s">
        <v>1087</v>
      </c>
      <c r="C16" s="43">
        <v>157.31417999999999</v>
      </c>
      <c r="G16" s="15"/>
      <c r="J16" s="15"/>
      <c r="M16" s="15"/>
      <c r="P16" s="15"/>
      <c r="S16" s="15"/>
      <c r="V16" s="15"/>
      <c r="Y16" s="15"/>
      <c r="AB16" s="15"/>
      <c r="AE16" s="15"/>
      <c r="AH16" s="15"/>
      <c r="AK16" s="15"/>
      <c r="AN16" s="15"/>
      <c r="AQ16" s="15"/>
      <c r="AT16" s="15"/>
      <c r="AW16" s="15"/>
      <c r="AZ16" s="15"/>
      <c r="BC16" s="15"/>
      <c r="BF16" s="15"/>
      <c r="BI16" s="15"/>
      <c r="BL16" s="15"/>
      <c r="BO16" s="15"/>
    </row>
    <row r="17" spans="1:67">
      <c r="A17" s="10" t="s">
        <v>1088</v>
      </c>
      <c r="C17" s="43">
        <v>42.660849999999996</v>
      </c>
      <c r="G17" s="15"/>
      <c r="J17" s="15"/>
      <c r="M17" s="15"/>
      <c r="P17" s="15"/>
      <c r="S17" s="15"/>
      <c r="V17" s="15"/>
      <c r="Y17" s="15"/>
      <c r="AB17" s="15"/>
      <c r="AE17" s="15"/>
      <c r="AH17" s="15"/>
      <c r="AK17" s="15"/>
      <c r="AN17" s="15"/>
      <c r="AQ17" s="15"/>
      <c r="AT17" s="15"/>
      <c r="AW17" s="15"/>
      <c r="AZ17" s="15"/>
      <c r="BC17" s="15"/>
      <c r="BF17" s="15"/>
      <c r="BI17" s="15"/>
      <c r="BL17" s="15"/>
      <c r="BO17" s="15"/>
    </row>
    <row r="18" spans="1:67">
      <c r="A18" s="10" t="s">
        <v>1089</v>
      </c>
      <c r="C18" s="43">
        <v>58207.704156</v>
      </c>
      <c r="G18" s="15"/>
      <c r="J18" s="15"/>
      <c r="M18" s="15"/>
      <c r="P18" s="15"/>
      <c r="S18" s="15"/>
      <c r="V18" s="15"/>
      <c r="Y18" s="15"/>
      <c r="AB18" s="15"/>
      <c r="AE18" s="15"/>
      <c r="AH18" s="15"/>
      <c r="AK18" s="15"/>
      <c r="AN18" s="15"/>
      <c r="AQ18" s="15"/>
      <c r="AT18" s="15"/>
      <c r="AW18" s="15"/>
      <c r="AZ18" s="15"/>
      <c r="BC18" s="15"/>
      <c r="BF18" s="15"/>
      <c r="BI18" s="15"/>
      <c r="BL18" s="15"/>
      <c r="BO18" s="15"/>
    </row>
    <row r="19" spans="1:67">
      <c r="A19" s="10"/>
      <c r="C19" s="43"/>
      <c r="G19" s="15"/>
      <c r="J19" s="15"/>
      <c r="M19" s="15"/>
      <c r="P19" s="15"/>
      <c r="S19" s="15"/>
      <c r="V19" s="15"/>
      <c r="Y19" s="15"/>
      <c r="AB19" s="15"/>
      <c r="AE19" s="15"/>
      <c r="AH19" s="15"/>
      <c r="AK19" s="15"/>
      <c r="AN19" s="15"/>
      <c r="AQ19" s="15"/>
      <c r="AT19" s="15"/>
      <c r="AW19" s="15"/>
      <c r="AZ19" s="15"/>
      <c r="BC19" s="15"/>
      <c r="BF19" s="15"/>
      <c r="BI19" s="15"/>
      <c r="BL19" s="15"/>
      <c r="BO19" s="15"/>
    </row>
    <row r="20" spans="1:67">
      <c r="A20" s="10" t="s">
        <v>1090</v>
      </c>
      <c r="C20" s="10" t="s">
        <v>16</v>
      </c>
      <c r="G20" s="15"/>
      <c r="J20" s="15"/>
      <c r="M20" s="15"/>
      <c r="P20" s="15"/>
      <c r="S20" s="15"/>
      <c r="V20" s="15"/>
      <c r="Y20" s="15"/>
      <c r="AB20" s="15"/>
      <c r="AE20" s="15"/>
      <c r="AH20" s="15"/>
      <c r="AK20" s="15"/>
      <c r="AN20" s="15"/>
      <c r="AQ20" s="15"/>
      <c r="AT20" s="15"/>
      <c r="AW20" s="15"/>
      <c r="AZ20" s="15"/>
      <c r="BC20" s="15"/>
      <c r="BF20" s="15"/>
      <c r="BI20" s="15"/>
      <c r="BL20" s="15"/>
      <c r="BO20" s="15"/>
    </row>
    <row r="21" spans="1:67">
      <c r="A21" s="15">
        <v>3</v>
      </c>
      <c r="B21" s="10" t="s">
        <v>1091</v>
      </c>
      <c r="C21" s="43">
        <v>186800.91177999999</v>
      </c>
      <c r="G21" s="15"/>
      <c r="J21" s="15"/>
      <c r="M21" s="15"/>
      <c r="P21" s="15"/>
      <c r="S21" s="15"/>
      <c r="V21" s="15"/>
      <c r="Y21" s="15"/>
      <c r="AB21" s="15"/>
      <c r="AE21" s="15"/>
      <c r="AH21" s="15"/>
      <c r="AK21" s="15"/>
      <c r="AN21" s="15"/>
      <c r="AQ21" s="15"/>
      <c r="AT21" s="15"/>
      <c r="AW21" s="15"/>
      <c r="AZ21" s="15"/>
      <c r="BC21" s="15"/>
      <c r="BF21" s="15"/>
      <c r="BI21" s="15"/>
      <c r="BL21" s="15"/>
      <c r="BO21" s="15"/>
    </row>
    <row r="22" spans="1:67">
      <c r="A22" s="15">
        <v>4</v>
      </c>
      <c r="B22" s="10" t="s">
        <v>1092</v>
      </c>
      <c r="C22" s="43">
        <v>3036963.151296</v>
      </c>
      <c r="G22" s="15"/>
      <c r="J22" s="15"/>
      <c r="M22" s="15"/>
      <c r="P22" s="15"/>
      <c r="S22" s="15"/>
      <c r="V22" s="15"/>
      <c r="Y22" s="15"/>
      <c r="AB22" s="15"/>
      <c r="AE22" s="15"/>
      <c r="AH22" s="15"/>
      <c r="AK22" s="15"/>
      <c r="AN22" s="15"/>
      <c r="AQ22" s="15"/>
      <c r="AT22" s="15"/>
      <c r="AW22" s="15"/>
      <c r="AZ22" s="15"/>
      <c r="BC22" s="15"/>
      <c r="BF22" s="15"/>
      <c r="BI22" s="15"/>
      <c r="BL22" s="15"/>
      <c r="BO22" s="15"/>
    </row>
    <row r="23" spans="1:67">
      <c r="A23" s="10" t="s">
        <v>793</v>
      </c>
      <c r="C23" s="43"/>
      <c r="G23" s="15"/>
      <c r="J23" s="15"/>
      <c r="M23" s="15"/>
      <c r="P23" s="15"/>
      <c r="S23" s="15"/>
      <c r="V23" s="15"/>
      <c r="Y23" s="15"/>
      <c r="AB23" s="15"/>
      <c r="AE23" s="15"/>
      <c r="AH23" s="15"/>
      <c r="AK23" s="15"/>
      <c r="AN23" s="15"/>
      <c r="AQ23" s="15"/>
      <c r="AT23" s="15"/>
      <c r="AW23" s="15"/>
      <c r="AZ23" s="15"/>
      <c r="BC23" s="15"/>
      <c r="BF23" s="15"/>
      <c r="BI23" s="15"/>
      <c r="BL23" s="15"/>
      <c r="BO23" s="15"/>
    </row>
    <row r="24" spans="1:67">
      <c r="A24" s="15">
        <v>5</v>
      </c>
      <c r="B24" s="10" t="s">
        <v>793</v>
      </c>
      <c r="C24" s="59">
        <f>C21/C22</f>
        <v>6.1509113701390873E-2</v>
      </c>
      <c r="G24" s="15"/>
      <c r="J24" s="15"/>
      <c r="M24" s="15"/>
      <c r="P24" s="15"/>
      <c r="S24" s="15"/>
      <c r="V24" s="15"/>
      <c r="Y24" s="15"/>
      <c r="AB24" s="15"/>
      <c r="AE24" s="15"/>
      <c r="AH24" s="15"/>
      <c r="AK24" s="15"/>
      <c r="AN24" s="15"/>
      <c r="AQ24" s="15"/>
      <c r="AT24" s="15"/>
      <c r="AW24" s="15"/>
      <c r="AZ24" s="15"/>
      <c r="BC24" s="15"/>
      <c r="BF24" s="15"/>
      <c r="BI24" s="15"/>
      <c r="BL24" s="15"/>
      <c r="BO24" s="15"/>
    </row>
    <row r="25" spans="1:67">
      <c r="A25" s="10"/>
      <c r="G25" s="15"/>
      <c r="J25" s="15"/>
      <c r="M25" s="15"/>
      <c r="P25" s="15"/>
      <c r="S25" s="15"/>
      <c r="V25" s="15"/>
      <c r="Y25" s="15"/>
      <c r="AB25" s="15"/>
      <c r="AE25" s="15"/>
      <c r="AH25" s="15"/>
      <c r="AK25" s="15"/>
      <c r="AN25" s="15"/>
      <c r="AQ25" s="15"/>
      <c r="AT25" s="15"/>
      <c r="AW25" s="15"/>
      <c r="AZ25" s="15"/>
      <c r="BC25" s="15"/>
      <c r="BF25" s="15"/>
      <c r="BI25" s="15"/>
      <c r="BL25" s="15"/>
      <c r="BO25" s="15"/>
    </row>
    <row r="26" spans="1:67">
      <c r="A26" s="16"/>
      <c r="B26" s="12"/>
      <c r="C26" s="16" t="s">
        <v>1083</v>
      </c>
      <c r="G26" s="15"/>
      <c r="J26" s="15"/>
      <c r="M26" s="15"/>
      <c r="P26" s="15"/>
      <c r="S26" s="15"/>
      <c r="V26" s="15"/>
      <c r="Y26" s="15"/>
      <c r="AB26" s="15"/>
      <c r="AE26" s="15"/>
      <c r="AH26" s="15"/>
      <c r="AK26" s="15"/>
      <c r="AN26" s="15"/>
      <c r="AQ26" s="15"/>
      <c r="AT26" s="15"/>
      <c r="AW26" s="15"/>
      <c r="AZ26" s="15"/>
      <c r="BC26" s="15"/>
      <c r="BF26" s="15"/>
      <c r="BI26" s="15"/>
      <c r="BL26" s="15"/>
      <c r="BO26" s="15"/>
    </row>
    <row r="27" spans="1:67">
      <c r="A27" s="15" t="s">
        <v>1093</v>
      </c>
      <c r="B27" s="10" t="s">
        <v>1094</v>
      </c>
      <c r="C27" s="43">
        <v>2978553.3231100002</v>
      </c>
      <c r="G27" s="15"/>
      <c r="J27" s="15"/>
      <c r="M27" s="15"/>
      <c r="P27" s="15"/>
      <c r="S27" s="15"/>
      <c r="V27" s="15"/>
      <c r="Y27" s="15"/>
      <c r="AB27" s="15"/>
      <c r="AE27" s="15"/>
      <c r="AH27" s="15"/>
      <c r="AK27" s="15"/>
      <c r="AN27" s="15"/>
      <c r="AQ27" s="15"/>
      <c r="AT27" s="15"/>
      <c r="AW27" s="15"/>
      <c r="AZ27" s="15"/>
      <c r="BC27" s="15"/>
      <c r="BF27" s="15"/>
      <c r="BI27" s="15"/>
      <c r="BL27" s="15"/>
      <c r="BO27" s="15"/>
    </row>
    <row r="28" spans="1:67">
      <c r="A28" s="15" t="s">
        <v>1095</v>
      </c>
      <c r="B28" s="10" t="s">
        <v>1096</v>
      </c>
      <c r="C28" s="43">
        <v>443.32524999999998</v>
      </c>
      <c r="G28" s="15"/>
      <c r="J28" s="15"/>
      <c r="M28" s="15"/>
      <c r="P28" s="15"/>
      <c r="S28" s="15"/>
      <c r="V28" s="15"/>
      <c r="Y28" s="15"/>
      <c r="AB28" s="15"/>
      <c r="AE28" s="15"/>
      <c r="AH28" s="15"/>
      <c r="AK28" s="15"/>
      <c r="AN28" s="15"/>
      <c r="AQ28" s="15"/>
      <c r="AT28" s="15"/>
      <c r="AW28" s="15"/>
      <c r="AZ28" s="15"/>
      <c r="BC28" s="15"/>
      <c r="BF28" s="15"/>
      <c r="BI28" s="15"/>
      <c r="BL28" s="15"/>
      <c r="BO28" s="15"/>
    </row>
    <row r="29" spans="1:67">
      <c r="A29" s="15" t="s">
        <v>1097</v>
      </c>
      <c r="B29" s="10" t="s">
        <v>1098</v>
      </c>
      <c r="C29" s="43">
        <v>2972321.9867100003</v>
      </c>
      <c r="G29" s="15"/>
      <c r="J29" s="15"/>
      <c r="M29" s="15"/>
      <c r="P29" s="15"/>
      <c r="S29" s="15"/>
      <c r="V29" s="15"/>
      <c r="Y29" s="15"/>
      <c r="AB29" s="15"/>
      <c r="AE29" s="15"/>
      <c r="AH29" s="15"/>
      <c r="AK29" s="15"/>
      <c r="AN29" s="15"/>
      <c r="AQ29" s="15"/>
      <c r="AT29" s="15"/>
      <c r="AW29" s="15"/>
      <c r="AZ29" s="15"/>
      <c r="BC29" s="15"/>
      <c r="BF29" s="15"/>
      <c r="BI29" s="15"/>
      <c r="BL29" s="15"/>
      <c r="BO29" s="15"/>
    </row>
    <row r="30" spans="1:67">
      <c r="A30" s="15" t="s">
        <v>1099</v>
      </c>
      <c r="B30" s="10" t="s">
        <v>1100</v>
      </c>
      <c r="C30" s="43">
        <v>0</v>
      </c>
      <c r="G30" s="15"/>
      <c r="J30" s="15"/>
      <c r="M30" s="15"/>
      <c r="P30" s="15"/>
      <c r="S30" s="15"/>
      <c r="V30" s="15"/>
      <c r="Y30" s="15"/>
      <c r="AB30" s="15"/>
      <c r="AE30" s="15"/>
      <c r="AH30" s="15"/>
      <c r="AK30" s="15"/>
      <c r="AN30" s="15"/>
      <c r="AQ30" s="15"/>
      <c r="AT30" s="15"/>
      <c r="AW30" s="15"/>
      <c r="AZ30" s="15"/>
      <c r="BC30" s="15"/>
      <c r="BF30" s="15"/>
      <c r="BI30" s="15"/>
      <c r="BL30" s="15"/>
      <c r="BO30" s="15"/>
    </row>
    <row r="31" spans="1:67">
      <c r="A31" s="15" t="s">
        <v>1101</v>
      </c>
      <c r="B31" s="10" t="s">
        <v>1102</v>
      </c>
      <c r="C31" s="43">
        <v>1253532.2922199999</v>
      </c>
      <c r="G31" s="15"/>
      <c r="J31" s="15"/>
      <c r="M31" s="15"/>
      <c r="P31" s="15"/>
      <c r="S31" s="15"/>
      <c r="V31" s="15"/>
      <c r="Y31" s="15"/>
      <c r="AB31" s="15"/>
      <c r="AE31" s="15"/>
      <c r="AH31" s="15"/>
      <c r="AK31" s="15"/>
      <c r="AN31" s="15"/>
      <c r="AQ31" s="15"/>
      <c r="AT31" s="15"/>
      <c r="AW31" s="15"/>
      <c r="AZ31" s="15"/>
      <c r="BC31" s="15"/>
      <c r="BF31" s="15"/>
      <c r="BI31" s="15"/>
      <c r="BL31" s="15"/>
      <c r="BO31" s="15"/>
    </row>
    <row r="32" spans="1:67">
      <c r="A32" s="15" t="s">
        <v>1103</v>
      </c>
      <c r="B32" s="10" t="s">
        <v>1104</v>
      </c>
      <c r="C32" s="43">
        <v>1818.0592300000001</v>
      </c>
      <c r="G32" s="15"/>
      <c r="J32" s="15"/>
      <c r="M32" s="15"/>
      <c r="P32" s="15"/>
      <c r="S32" s="15"/>
      <c r="V32" s="15"/>
      <c r="Y32" s="15"/>
      <c r="AB32" s="15"/>
      <c r="AE32" s="15"/>
      <c r="AH32" s="15"/>
      <c r="AK32" s="15"/>
      <c r="AN32" s="15"/>
      <c r="AQ32" s="15"/>
      <c r="AT32" s="15"/>
      <c r="AW32" s="15"/>
      <c r="AZ32" s="15"/>
      <c r="BC32" s="15"/>
      <c r="BF32" s="15"/>
      <c r="BI32" s="15"/>
      <c r="BL32" s="15"/>
      <c r="BO32" s="15"/>
    </row>
    <row r="33" spans="1:67">
      <c r="A33" s="15" t="s">
        <v>1105</v>
      </c>
      <c r="B33" s="10" t="s">
        <v>1106</v>
      </c>
      <c r="C33" s="43">
        <v>19850.613559999998</v>
      </c>
      <c r="G33" s="15"/>
      <c r="J33" s="15"/>
      <c r="M33" s="15"/>
      <c r="P33" s="15"/>
      <c r="S33" s="15"/>
      <c r="V33" s="15"/>
      <c r="Y33" s="15"/>
      <c r="AB33" s="15"/>
      <c r="AE33" s="15"/>
      <c r="AH33" s="15"/>
      <c r="AK33" s="15"/>
      <c r="AN33" s="15"/>
      <c r="AQ33" s="15"/>
      <c r="AT33" s="15"/>
      <c r="AW33" s="15"/>
      <c r="AZ33" s="15"/>
      <c r="BC33" s="15"/>
      <c r="BF33" s="15"/>
      <c r="BI33" s="15"/>
      <c r="BL33" s="15"/>
      <c r="BO33" s="15"/>
    </row>
    <row r="34" spans="1:67">
      <c r="A34" s="15" t="s">
        <v>1107</v>
      </c>
      <c r="B34" s="10" t="s">
        <v>1108</v>
      </c>
      <c r="C34" s="43">
        <v>596275.55027000001</v>
      </c>
      <c r="G34" s="15"/>
      <c r="J34" s="15"/>
      <c r="M34" s="15"/>
      <c r="P34" s="15"/>
      <c r="S34" s="15"/>
      <c r="V34" s="15"/>
      <c r="Y34" s="15"/>
      <c r="AB34" s="15"/>
      <c r="AE34" s="15"/>
      <c r="AH34" s="15"/>
      <c r="AK34" s="15"/>
      <c r="AN34" s="15"/>
      <c r="AQ34" s="15"/>
      <c r="AT34" s="15"/>
      <c r="AW34" s="15"/>
      <c r="AZ34" s="15"/>
      <c r="BC34" s="15"/>
      <c r="BF34" s="15"/>
      <c r="BI34" s="15"/>
      <c r="BL34" s="15"/>
      <c r="BO34" s="15"/>
    </row>
    <row r="35" spans="1:67">
      <c r="A35" s="15" t="s">
        <v>1109</v>
      </c>
      <c r="B35" s="10" t="s">
        <v>1110</v>
      </c>
      <c r="C35" s="43">
        <v>248130.43762000001</v>
      </c>
      <c r="G35" s="15"/>
      <c r="J35" s="15"/>
      <c r="M35" s="15"/>
      <c r="P35" s="15"/>
      <c r="S35" s="15"/>
      <c r="V35" s="15"/>
      <c r="Y35" s="15"/>
      <c r="AB35" s="15"/>
      <c r="AE35" s="15"/>
      <c r="AH35" s="15"/>
      <c r="AK35" s="15"/>
      <c r="AN35" s="15"/>
      <c r="AQ35" s="15"/>
      <c r="AT35" s="15"/>
      <c r="AW35" s="15"/>
      <c r="AZ35" s="15"/>
      <c r="BC35" s="15"/>
      <c r="BF35" s="15"/>
      <c r="BI35" s="15"/>
      <c r="BL35" s="15"/>
      <c r="BO35" s="15"/>
    </row>
    <row r="36" spans="1:67">
      <c r="A36" s="15" t="s">
        <v>1111</v>
      </c>
      <c r="B36" s="10" t="s">
        <v>1112</v>
      </c>
      <c r="C36" s="43">
        <v>809000.30713999993</v>
      </c>
      <c r="G36" s="15"/>
      <c r="J36" s="15"/>
      <c r="M36" s="15"/>
      <c r="P36" s="15"/>
      <c r="S36" s="15"/>
      <c r="V36" s="15"/>
      <c r="Y36" s="15"/>
      <c r="AB36" s="15"/>
      <c r="AE36" s="15"/>
      <c r="AH36" s="15"/>
      <c r="AK36" s="15"/>
      <c r="AN36" s="15"/>
      <c r="AQ36" s="15"/>
      <c r="AT36" s="15"/>
      <c r="AW36" s="15"/>
      <c r="AZ36" s="15"/>
      <c r="BC36" s="15"/>
      <c r="BF36" s="15"/>
      <c r="BI36" s="15"/>
      <c r="BL36" s="15"/>
      <c r="BO36" s="15"/>
    </row>
    <row r="37" spans="1:67">
      <c r="A37" s="15" t="s">
        <v>1113</v>
      </c>
      <c r="B37" s="10" t="s">
        <v>1114</v>
      </c>
      <c r="C37" s="43">
        <v>3771.5211800000002</v>
      </c>
      <c r="G37" s="15"/>
      <c r="J37" s="15"/>
      <c r="M37" s="15"/>
      <c r="P37" s="15"/>
      <c r="S37" s="15"/>
      <c r="V37" s="15"/>
      <c r="Y37" s="15"/>
      <c r="AB37" s="15"/>
      <c r="AE37" s="15"/>
      <c r="AH37" s="15"/>
      <c r="AK37" s="15"/>
      <c r="AN37" s="15"/>
      <c r="AQ37" s="15"/>
      <c r="AT37" s="15"/>
      <c r="AW37" s="15"/>
      <c r="AZ37" s="15"/>
      <c r="BC37" s="15"/>
      <c r="BF37" s="15"/>
      <c r="BI37" s="15"/>
      <c r="BL37" s="15"/>
      <c r="BO37" s="15"/>
    </row>
    <row r="38" spans="1:67">
      <c r="A38" s="15" t="s">
        <v>1115</v>
      </c>
      <c r="B38" s="10" t="s">
        <v>1116</v>
      </c>
      <c r="C38" s="43">
        <v>39943.20549</v>
      </c>
      <c r="G38" s="15"/>
      <c r="J38" s="15"/>
      <c r="M38" s="15"/>
      <c r="P38" s="15"/>
      <c r="S38" s="15"/>
      <c r="V38" s="15"/>
      <c r="Y38" s="15"/>
      <c r="AB38" s="15"/>
      <c r="AE38" s="15"/>
      <c r="AH38" s="15"/>
      <c r="AK38" s="15"/>
      <c r="AN38" s="15"/>
      <c r="AQ38" s="15"/>
      <c r="AT38" s="15"/>
      <c r="AW38" s="15"/>
      <c r="AZ38" s="15"/>
      <c r="BC38" s="15"/>
      <c r="BF38" s="15"/>
      <c r="BI38" s="15"/>
      <c r="BL38" s="15"/>
      <c r="BO38" s="15"/>
    </row>
    <row r="39" spans="1:67">
      <c r="A39" s="12"/>
      <c r="B39" s="12"/>
      <c r="C39" s="12"/>
      <c r="G39" s="15"/>
      <c r="J39" s="15"/>
      <c r="M39" s="15"/>
      <c r="P39" s="15"/>
      <c r="S39" s="15"/>
      <c r="V39" s="15"/>
      <c r="Y39" s="15"/>
      <c r="AB39" s="15"/>
      <c r="AE39" s="15"/>
      <c r="AH39" s="15"/>
      <c r="AK39" s="15"/>
      <c r="AN39" s="15"/>
      <c r="AQ39" s="15"/>
      <c r="AT39" s="15"/>
      <c r="AW39" s="15"/>
      <c r="AZ39" s="15"/>
      <c r="BC39" s="15"/>
      <c r="BF39" s="15"/>
      <c r="BI39" s="15"/>
      <c r="BL39" s="15"/>
      <c r="BO39" s="15"/>
    </row>
    <row r="40" spans="1:67">
      <c r="G40" s="15"/>
      <c r="J40" s="15"/>
      <c r="M40" s="15"/>
      <c r="P40" s="15"/>
      <c r="S40" s="15"/>
      <c r="V40" s="15"/>
      <c r="Y40" s="15"/>
      <c r="AB40" s="15"/>
      <c r="AE40" s="15"/>
      <c r="AH40" s="15"/>
      <c r="AK40" s="15"/>
      <c r="AN40" s="15"/>
      <c r="AQ40" s="15"/>
      <c r="AT40" s="15"/>
      <c r="AW40" s="15"/>
      <c r="AZ40" s="15"/>
      <c r="BC40" s="15"/>
      <c r="BF40" s="15"/>
      <c r="BI40" s="15"/>
      <c r="BL40" s="15"/>
      <c r="BO40" s="15"/>
    </row>
    <row r="41" spans="1:67">
      <c r="D41" s="15"/>
      <c r="G41" s="15"/>
      <c r="J41" s="15"/>
      <c r="M41" s="15"/>
      <c r="P41" s="15"/>
      <c r="S41" s="15"/>
      <c r="V41" s="15"/>
      <c r="Y41" s="15"/>
      <c r="AB41" s="15"/>
      <c r="AE41" s="15"/>
      <c r="AH41" s="15"/>
      <c r="AK41" s="15"/>
      <c r="AN41" s="15"/>
      <c r="AQ41" s="15"/>
      <c r="AT41" s="15"/>
      <c r="AW41" s="15"/>
      <c r="AZ41" s="15"/>
      <c r="BC41" s="15"/>
      <c r="BF41" s="15"/>
      <c r="BI41" s="15"/>
      <c r="BL41" s="15"/>
      <c r="BO41" s="15"/>
    </row>
    <row r="42" spans="1:67">
      <c r="D42" s="15"/>
      <c r="G42" s="15"/>
      <c r="J42" s="15"/>
      <c r="M42" s="15"/>
      <c r="P42" s="15"/>
      <c r="S42" s="15"/>
      <c r="V42" s="15"/>
      <c r="Y42" s="15"/>
      <c r="AB42" s="15"/>
      <c r="AE42" s="15"/>
      <c r="AH42" s="15"/>
      <c r="AK42" s="15"/>
      <c r="AN42" s="15"/>
      <c r="AQ42" s="15"/>
      <c r="AT42" s="15"/>
      <c r="AW42" s="15"/>
      <c r="AZ42" s="15"/>
      <c r="BC42" s="15"/>
      <c r="BF42" s="15"/>
      <c r="BI42" s="15"/>
      <c r="BL42" s="15"/>
      <c r="BO42" s="15"/>
    </row>
    <row r="43" spans="1:67">
      <c r="D43" s="15"/>
      <c r="G43" s="15"/>
      <c r="J43" s="15"/>
      <c r="M43" s="15"/>
      <c r="P43" s="15"/>
      <c r="S43" s="15"/>
      <c r="V43" s="15"/>
      <c r="Y43" s="15"/>
      <c r="AB43" s="15"/>
      <c r="AE43" s="15"/>
      <c r="AH43" s="15"/>
      <c r="AK43" s="15"/>
      <c r="AN43" s="15"/>
      <c r="AQ43" s="15"/>
      <c r="AT43" s="15"/>
      <c r="AW43" s="15"/>
      <c r="AZ43" s="15"/>
      <c r="BC43" s="15"/>
      <c r="BF43" s="15"/>
      <c r="BI43" s="15"/>
      <c r="BL43" s="15"/>
      <c r="BO43" s="15"/>
    </row>
    <row r="44" spans="1:67">
      <c r="D44" s="15"/>
      <c r="G44" s="15"/>
      <c r="J44" s="15"/>
      <c r="M44" s="15"/>
      <c r="P44" s="15"/>
      <c r="S44" s="15"/>
      <c r="V44" s="15"/>
      <c r="Y44" s="15"/>
      <c r="AB44" s="15"/>
      <c r="AE44" s="15"/>
      <c r="AH44" s="15"/>
      <c r="AK44" s="15"/>
      <c r="AN44" s="15"/>
      <c r="AQ44" s="15"/>
      <c r="AT44" s="15"/>
      <c r="AW44" s="15"/>
      <c r="AZ44" s="15"/>
      <c r="BC44" s="15"/>
      <c r="BF44" s="15"/>
      <c r="BI44" s="15"/>
      <c r="BL44" s="15"/>
      <c r="BO44" s="15"/>
    </row>
    <row r="45" spans="1:67">
      <c r="D45" s="15"/>
      <c r="G45" s="15"/>
      <c r="J45" s="15"/>
      <c r="M45" s="15"/>
      <c r="P45" s="15"/>
      <c r="S45" s="15"/>
      <c r="V45" s="15"/>
      <c r="Y45" s="15"/>
      <c r="AB45" s="15"/>
      <c r="AE45" s="15"/>
      <c r="AH45" s="15"/>
      <c r="AK45" s="15"/>
      <c r="AN45" s="15"/>
      <c r="AQ45" s="15"/>
      <c r="AT45" s="15"/>
      <c r="AW45" s="15"/>
      <c r="AZ45" s="15"/>
      <c r="BC45" s="15"/>
      <c r="BF45" s="15"/>
      <c r="BI45" s="15"/>
      <c r="BL45" s="15"/>
      <c r="BO45" s="15"/>
    </row>
    <row r="46" spans="1:67">
      <c r="D46" s="15"/>
      <c r="G46" s="15"/>
      <c r="J46" s="15"/>
      <c r="M46" s="15"/>
      <c r="P46" s="15"/>
      <c r="S46" s="15"/>
      <c r="V46" s="15"/>
      <c r="Y46" s="15"/>
      <c r="AB46" s="15"/>
      <c r="AE46" s="15"/>
      <c r="AH46" s="15"/>
      <c r="AK46" s="15"/>
      <c r="AN46" s="15"/>
      <c r="AQ46" s="15"/>
      <c r="AT46" s="15"/>
      <c r="AW46" s="15"/>
      <c r="AZ46" s="15"/>
      <c r="BC46" s="15"/>
      <c r="BF46" s="15"/>
      <c r="BI46" s="15"/>
      <c r="BL46" s="15"/>
      <c r="BO46" s="15"/>
    </row>
    <row r="47" spans="1:67">
      <c r="D47" s="15"/>
      <c r="G47" s="15"/>
      <c r="J47" s="15"/>
      <c r="M47" s="15"/>
      <c r="P47" s="15"/>
      <c r="S47" s="15"/>
      <c r="V47" s="15"/>
      <c r="Y47" s="15"/>
      <c r="AB47" s="15"/>
      <c r="AE47" s="15"/>
      <c r="AH47" s="15"/>
      <c r="AK47" s="15"/>
      <c r="AN47" s="15"/>
      <c r="AQ47" s="15"/>
      <c r="AT47" s="15"/>
      <c r="AW47" s="15"/>
      <c r="AZ47" s="15"/>
      <c r="BC47" s="15"/>
      <c r="BF47" s="15"/>
      <c r="BI47" s="15"/>
      <c r="BL47" s="15"/>
      <c r="BO47" s="15"/>
    </row>
    <row r="48" spans="1:67">
      <c r="D48" s="15"/>
      <c r="G48" s="15"/>
      <c r="J48" s="15"/>
      <c r="M48" s="15"/>
      <c r="P48" s="15"/>
      <c r="S48" s="15"/>
      <c r="V48" s="15"/>
      <c r="Y48" s="15"/>
      <c r="AB48" s="15"/>
      <c r="AE48" s="15"/>
      <c r="AH48" s="15"/>
      <c r="AK48" s="15"/>
      <c r="AN48" s="15"/>
      <c r="AQ48" s="15"/>
      <c r="AT48" s="15"/>
      <c r="AW48" s="15"/>
      <c r="AZ48" s="15"/>
      <c r="BC48" s="15"/>
      <c r="BF48" s="15"/>
      <c r="BI48" s="15"/>
      <c r="BL48" s="15"/>
      <c r="BO48" s="15"/>
    </row>
    <row r="49" spans="1:68">
      <c r="D49" s="15"/>
      <c r="G49" s="15"/>
      <c r="J49" s="15"/>
      <c r="M49" s="15"/>
      <c r="P49" s="15"/>
      <c r="S49" s="15"/>
      <c r="V49" s="15"/>
      <c r="Y49" s="15"/>
      <c r="AB49" s="15"/>
      <c r="AE49" s="15"/>
      <c r="AH49" s="15"/>
      <c r="AK49" s="15"/>
      <c r="AN49" s="15"/>
      <c r="AQ49" s="15"/>
      <c r="AT49" s="15"/>
      <c r="AW49" s="15"/>
      <c r="AZ49" s="15"/>
      <c r="BC49" s="15"/>
      <c r="BF49" s="15"/>
      <c r="BI49" s="15"/>
      <c r="BL49" s="15"/>
      <c r="BO49" s="15"/>
    </row>
    <row r="50" spans="1:68">
      <c r="D50" s="15"/>
      <c r="G50" s="15"/>
      <c r="J50" s="15"/>
      <c r="M50" s="15"/>
      <c r="P50" s="15"/>
      <c r="S50" s="15"/>
      <c r="V50" s="15"/>
      <c r="Y50" s="15"/>
      <c r="AB50" s="15"/>
      <c r="AE50" s="15"/>
      <c r="AH50" s="15"/>
      <c r="AK50" s="15"/>
      <c r="AN50" s="15"/>
      <c r="AQ50" s="15"/>
      <c r="AT50" s="15"/>
      <c r="AW50" s="15"/>
      <c r="AZ50" s="15"/>
      <c r="BC50" s="15"/>
      <c r="BF50" s="15"/>
      <c r="BI50" s="15"/>
      <c r="BL50" s="15"/>
      <c r="BO50" s="15"/>
    </row>
    <row r="51" spans="1:68">
      <c r="D51" s="15"/>
      <c r="G51" s="15"/>
      <c r="J51" s="15"/>
      <c r="M51" s="15"/>
      <c r="P51" s="15"/>
      <c r="S51" s="15"/>
      <c r="V51" s="15"/>
      <c r="Y51" s="15"/>
      <c r="AB51" s="15"/>
      <c r="AE51" s="15"/>
      <c r="AH51" s="15"/>
      <c r="AK51" s="15"/>
      <c r="AN51" s="15"/>
      <c r="AQ51" s="15"/>
      <c r="AT51" s="15"/>
      <c r="AW51" s="15"/>
      <c r="AZ51" s="15"/>
      <c r="BC51" s="15"/>
      <c r="BF51" s="15"/>
      <c r="BI51" s="15"/>
      <c r="BL51" s="15"/>
      <c r="BO51" s="15"/>
    </row>
    <row r="52" spans="1:68">
      <c r="D52" s="15"/>
      <c r="G52" s="15"/>
      <c r="J52" s="15"/>
      <c r="M52" s="15"/>
      <c r="P52" s="15"/>
      <c r="S52" s="15"/>
      <c r="V52" s="15"/>
      <c r="Y52" s="15"/>
      <c r="AB52" s="15"/>
      <c r="AE52" s="15"/>
      <c r="AH52" s="15"/>
      <c r="AK52" s="15"/>
      <c r="AN52" s="15"/>
      <c r="AQ52" s="15"/>
      <c r="AT52" s="15"/>
      <c r="AW52" s="15"/>
      <c r="AZ52" s="15"/>
      <c r="BC52" s="15"/>
      <c r="BF52" s="15"/>
      <c r="BI52" s="15"/>
      <c r="BL52" s="15"/>
      <c r="BO52" s="15"/>
    </row>
    <row r="53" spans="1:68">
      <c r="D53" s="15"/>
      <c r="G53" s="15"/>
      <c r="J53" s="15"/>
      <c r="M53" s="15"/>
      <c r="P53" s="15"/>
      <c r="S53" s="15"/>
      <c r="V53" s="15"/>
      <c r="Y53" s="15"/>
      <c r="AB53" s="15"/>
      <c r="AE53" s="15"/>
      <c r="AH53" s="15"/>
      <c r="AK53" s="15"/>
      <c r="AN53" s="15"/>
      <c r="AQ53" s="15"/>
      <c r="AT53" s="15"/>
      <c r="AW53" s="15"/>
      <c r="AZ53" s="15"/>
      <c r="BC53" s="15"/>
      <c r="BF53" s="15"/>
      <c r="BI53" s="15"/>
      <c r="BL53" s="15"/>
      <c r="BO53" s="15"/>
    </row>
    <row r="54" spans="1:68">
      <c r="D54" s="15"/>
      <c r="G54" s="15"/>
      <c r="J54" s="15"/>
      <c r="M54" s="15"/>
      <c r="P54" s="15"/>
      <c r="S54" s="15"/>
      <c r="V54" s="15"/>
      <c r="Y54" s="15"/>
      <c r="AB54" s="15"/>
      <c r="AE54" s="15"/>
      <c r="AH54" s="15"/>
      <c r="AK54" s="15"/>
      <c r="AN54" s="15"/>
      <c r="AQ54" s="15"/>
      <c r="AT54" s="15"/>
      <c r="AW54" s="15"/>
      <c r="AZ54" s="15"/>
      <c r="BC54" s="15"/>
      <c r="BF54" s="15"/>
      <c r="BI54" s="15"/>
      <c r="BL54" s="15"/>
      <c r="BO54" s="15"/>
    </row>
    <row r="55" spans="1:68">
      <c r="D55" s="15"/>
      <c r="G55" s="15"/>
      <c r="J55" s="15"/>
      <c r="M55" s="15"/>
      <c r="P55" s="15"/>
      <c r="S55" s="15"/>
      <c r="V55" s="15"/>
      <c r="Y55" s="15"/>
      <c r="AB55" s="15"/>
      <c r="AE55" s="15"/>
      <c r="AH55" s="15"/>
      <c r="AK55" s="15"/>
      <c r="AN55" s="15"/>
      <c r="AQ55" s="15"/>
      <c r="AT55" s="15"/>
      <c r="AW55" s="15"/>
      <c r="AZ55" s="15"/>
      <c r="BC55" s="15"/>
      <c r="BF55" s="15"/>
      <c r="BI55" s="15"/>
      <c r="BL55" s="15"/>
      <c r="BO55" s="15"/>
    </row>
    <row r="56" spans="1:68">
      <c r="D56" s="15"/>
      <c r="G56" s="15"/>
      <c r="J56" s="15"/>
      <c r="M56" s="15"/>
      <c r="P56" s="15"/>
      <c r="S56" s="15"/>
      <c r="V56" s="15"/>
      <c r="Y56" s="15"/>
      <c r="AB56" s="15"/>
      <c r="AE56" s="15"/>
      <c r="AH56" s="15"/>
      <c r="AK56" s="15"/>
      <c r="AN56" s="15"/>
      <c r="AQ56" s="15"/>
      <c r="AT56" s="15"/>
      <c r="AW56" s="15"/>
      <c r="AZ56" s="15"/>
      <c r="BC56" s="15"/>
      <c r="BF56" s="15"/>
      <c r="BI56" s="15"/>
      <c r="BL56" s="15"/>
      <c r="BO56" s="15"/>
    </row>
    <row r="57" spans="1:68">
      <c r="D57" s="15"/>
      <c r="G57" s="15"/>
      <c r="J57" s="15"/>
      <c r="M57" s="15"/>
      <c r="P57" s="15"/>
      <c r="S57" s="15"/>
      <c r="V57" s="15"/>
      <c r="Y57" s="15"/>
      <c r="AB57" s="15"/>
      <c r="AE57" s="15"/>
      <c r="AH57" s="15"/>
      <c r="AK57" s="15"/>
      <c r="AN57" s="15"/>
      <c r="AQ57" s="15"/>
      <c r="AT57" s="15"/>
      <c r="AW57" s="15"/>
      <c r="AZ57" s="15"/>
      <c r="BC57" s="15"/>
      <c r="BF57" s="15"/>
      <c r="BI57" s="15"/>
      <c r="BL57" s="15"/>
      <c r="BO57" s="15"/>
    </row>
    <row r="58" spans="1:68">
      <c r="D58" s="15"/>
      <c r="G58" s="15"/>
      <c r="J58" s="15"/>
      <c r="M58" s="15"/>
      <c r="P58" s="15"/>
      <c r="S58" s="15"/>
      <c r="V58" s="15"/>
      <c r="Y58" s="15"/>
      <c r="AB58" s="15"/>
      <c r="AE58" s="15"/>
      <c r="AH58" s="15"/>
      <c r="AK58" s="15"/>
      <c r="AN58" s="15"/>
      <c r="AQ58" s="15"/>
      <c r="AT58" s="15"/>
      <c r="AW58" s="15"/>
      <c r="AZ58" s="15"/>
      <c r="BC58" s="15"/>
      <c r="BF58" s="15"/>
      <c r="BI58" s="15"/>
      <c r="BL58" s="15"/>
      <c r="BO58" s="15"/>
    </row>
    <row r="59" spans="1:68">
      <c r="D59" s="15"/>
      <c r="G59" s="15"/>
      <c r="J59" s="15"/>
      <c r="M59" s="15"/>
      <c r="P59" s="15"/>
      <c r="S59" s="15"/>
      <c r="V59" s="15"/>
      <c r="Y59" s="15"/>
      <c r="AB59" s="15"/>
      <c r="AE59" s="15"/>
      <c r="AH59" s="15"/>
      <c r="AK59" s="15"/>
      <c r="AN59" s="15"/>
      <c r="AQ59" s="15"/>
      <c r="AT59" s="15"/>
      <c r="AW59" s="15"/>
      <c r="AZ59" s="15"/>
      <c r="BC59" s="15"/>
      <c r="BF59" s="15"/>
      <c r="BI59" s="15"/>
      <c r="BL59" s="15"/>
      <c r="BO59" s="15"/>
    </row>
    <row r="60" spans="1:68" s="12" customFormat="1">
      <c r="A60" s="15"/>
      <c r="B60" s="10"/>
      <c r="C60" s="10"/>
      <c r="D60" s="15"/>
      <c r="E60" s="10"/>
      <c r="F60" s="10"/>
      <c r="G60" s="15"/>
      <c r="H60" s="10"/>
      <c r="I60" s="10"/>
      <c r="J60" s="15"/>
      <c r="K60" s="10"/>
      <c r="L60" s="10"/>
      <c r="M60" s="15"/>
      <c r="N60" s="10"/>
      <c r="O60" s="10"/>
      <c r="P60" s="15"/>
      <c r="Q60" s="10"/>
      <c r="R60" s="10"/>
      <c r="S60" s="15"/>
      <c r="T60" s="10"/>
      <c r="U60" s="10"/>
      <c r="V60" s="15"/>
      <c r="W60" s="10"/>
      <c r="X60" s="10"/>
      <c r="Y60" s="15"/>
      <c r="Z60" s="10"/>
      <c r="AA60" s="10"/>
      <c r="AB60" s="15"/>
      <c r="AC60" s="10"/>
      <c r="AD60" s="10"/>
      <c r="AE60" s="15"/>
      <c r="AF60" s="10"/>
      <c r="AG60" s="10"/>
      <c r="AH60" s="15"/>
      <c r="AI60" s="10"/>
      <c r="AJ60" s="10"/>
      <c r="AK60" s="15"/>
      <c r="AL60" s="10"/>
      <c r="AM60" s="10"/>
      <c r="AN60" s="15"/>
      <c r="AO60" s="10"/>
      <c r="AP60" s="10"/>
      <c r="AQ60" s="15"/>
      <c r="AR60" s="10"/>
      <c r="AS60" s="10"/>
      <c r="AT60" s="15"/>
      <c r="AU60" s="10"/>
      <c r="AV60" s="10"/>
      <c r="AW60" s="15"/>
      <c r="AX60" s="10"/>
      <c r="AY60" s="10"/>
      <c r="AZ60" s="15"/>
      <c r="BA60" s="10"/>
      <c r="BB60" s="10"/>
      <c r="BC60" s="15"/>
      <c r="BD60" s="10"/>
      <c r="BE60" s="10"/>
      <c r="BF60" s="15"/>
      <c r="BG60" s="10"/>
      <c r="BH60" s="10"/>
      <c r="BI60" s="15"/>
      <c r="BJ60" s="10"/>
      <c r="BK60" s="10"/>
      <c r="BL60" s="15"/>
      <c r="BM60" s="10"/>
      <c r="BN60" s="10"/>
      <c r="BO60" s="15"/>
      <c r="BP60" s="10"/>
    </row>
    <row r="61" spans="1:68">
      <c r="D61" s="15"/>
      <c r="G61" s="15"/>
      <c r="J61" s="15"/>
      <c r="M61" s="15"/>
      <c r="P61" s="15"/>
      <c r="S61" s="15"/>
      <c r="V61" s="15"/>
      <c r="Y61" s="15"/>
      <c r="AB61" s="15"/>
      <c r="AE61" s="15"/>
      <c r="AH61" s="15"/>
      <c r="AK61" s="15"/>
      <c r="AN61" s="15"/>
      <c r="AQ61" s="15"/>
      <c r="AT61" s="15"/>
      <c r="AW61" s="15"/>
      <c r="AZ61" s="15"/>
      <c r="BC61" s="15"/>
      <c r="BF61" s="15"/>
      <c r="BI61" s="15"/>
      <c r="BL61" s="15"/>
      <c r="BO61" s="15"/>
    </row>
    <row r="62" spans="1:68">
      <c r="D62" s="15"/>
      <c r="G62" s="15"/>
      <c r="J62" s="15"/>
      <c r="M62" s="15"/>
      <c r="P62" s="15"/>
      <c r="S62" s="15"/>
      <c r="V62" s="15"/>
      <c r="Y62" s="15"/>
      <c r="AB62" s="15"/>
      <c r="AE62" s="15"/>
      <c r="AH62" s="15"/>
      <c r="AK62" s="15"/>
      <c r="AN62" s="15"/>
      <c r="AQ62" s="15"/>
      <c r="AT62" s="15"/>
      <c r="AW62" s="15"/>
      <c r="AZ62" s="15"/>
      <c r="BC62" s="15"/>
      <c r="BF62" s="15"/>
      <c r="BI62" s="15"/>
      <c r="BL62" s="15"/>
      <c r="BO62" s="15"/>
    </row>
    <row r="63" spans="1:68">
      <c r="D63" s="15"/>
      <c r="G63" s="15"/>
      <c r="J63" s="15"/>
      <c r="M63" s="15"/>
      <c r="P63" s="15"/>
      <c r="S63" s="15"/>
      <c r="V63" s="15"/>
      <c r="Y63" s="15"/>
      <c r="AB63" s="15"/>
      <c r="AE63" s="15"/>
      <c r="AH63" s="15"/>
      <c r="AK63" s="15"/>
      <c r="AN63" s="15"/>
      <c r="AQ63" s="15"/>
      <c r="AT63" s="15"/>
      <c r="AW63" s="15"/>
      <c r="AZ63" s="15"/>
      <c r="BC63" s="15"/>
      <c r="BF63" s="15"/>
      <c r="BI63" s="15"/>
      <c r="BL63" s="15"/>
      <c r="BO63" s="15"/>
    </row>
    <row r="64" spans="1:68">
      <c r="D64" s="15"/>
      <c r="G64" s="15"/>
      <c r="J64" s="15"/>
      <c r="M64" s="15"/>
      <c r="P64" s="15"/>
      <c r="S64" s="15"/>
      <c r="V64" s="15"/>
      <c r="Y64" s="15"/>
      <c r="AB64" s="15"/>
      <c r="AE64" s="15"/>
      <c r="AH64" s="15"/>
      <c r="AK64" s="15"/>
      <c r="AN64" s="15"/>
      <c r="AQ64" s="15"/>
      <c r="AT64" s="15"/>
      <c r="AW64" s="15"/>
      <c r="AZ64" s="15"/>
      <c r="BC64" s="15"/>
      <c r="BF64" s="15"/>
      <c r="BI64" s="15"/>
      <c r="BL64" s="15"/>
      <c r="BO64" s="15"/>
    </row>
    <row r="65" spans="4:67">
      <c r="D65" s="15"/>
      <c r="G65" s="15"/>
      <c r="J65" s="15"/>
      <c r="M65" s="15"/>
      <c r="P65" s="15"/>
      <c r="S65" s="15"/>
      <c r="V65" s="15"/>
      <c r="Y65" s="15"/>
      <c r="AB65" s="15"/>
      <c r="AE65" s="15"/>
      <c r="AH65" s="15"/>
      <c r="AK65" s="15"/>
      <c r="AN65" s="15"/>
      <c r="AQ65" s="15"/>
      <c r="AT65" s="15"/>
      <c r="AW65" s="15"/>
      <c r="AZ65" s="15"/>
      <c r="BC65" s="15"/>
      <c r="BF65" s="15"/>
      <c r="BI65" s="15"/>
      <c r="BL65" s="15"/>
      <c r="BO65" s="15"/>
    </row>
    <row r="66" spans="4:67">
      <c r="D66" s="15"/>
      <c r="G66" s="15"/>
      <c r="J66" s="15"/>
      <c r="M66" s="15"/>
      <c r="P66" s="15"/>
      <c r="S66" s="15"/>
      <c r="V66" s="15"/>
      <c r="Y66" s="15"/>
      <c r="AB66" s="15"/>
      <c r="AE66" s="15"/>
      <c r="AH66" s="15"/>
      <c r="AK66" s="15"/>
      <c r="AN66" s="15"/>
      <c r="AQ66" s="15"/>
      <c r="AT66" s="15"/>
      <c r="AW66" s="15"/>
      <c r="AZ66" s="15"/>
      <c r="BC66" s="15"/>
      <c r="BF66" s="15"/>
      <c r="BI66" s="15"/>
      <c r="BL66" s="15"/>
      <c r="BO66" s="15"/>
    </row>
    <row r="67" spans="4:67">
      <c r="D67" s="15"/>
      <c r="G67" s="15"/>
      <c r="J67" s="15"/>
      <c r="M67" s="15"/>
      <c r="P67" s="15"/>
      <c r="S67" s="15"/>
      <c r="V67" s="15"/>
      <c r="Y67" s="15"/>
      <c r="AB67" s="15"/>
      <c r="AE67" s="15"/>
      <c r="AH67" s="15"/>
      <c r="AK67" s="15"/>
      <c r="AN67" s="15"/>
      <c r="AQ67" s="15"/>
      <c r="AT67" s="15"/>
      <c r="AW67" s="15"/>
      <c r="AZ67" s="15"/>
      <c r="BC67" s="15"/>
      <c r="BF67" s="15"/>
      <c r="BI67" s="15"/>
      <c r="BL67" s="15"/>
      <c r="BO67" s="15"/>
    </row>
    <row r="68" spans="4:67">
      <c r="D68" s="15"/>
      <c r="G68" s="15"/>
      <c r="J68" s="15"/>
      <c r="M68" s="15"/>
      <c r="P68" s="15"/>
      <c r="S68" s="15"/>
      <c r="V68" s="15"/>
      <c r="Y68" s="15"/>
      <c r="AB68" s="15"/>
      <c r="AE68" s="15"/>
      <c r="AH68" s="15"/>
      <c r="AK68" s="15"/>
      <c r="AN68" s="15"/>
      <c r="AQ68" s="15"/>
      <c r="AT68" s="15"/>
      <c r="AW68" s="15"/>
      <c r="AZ68" s="15"/>
      <c r="BC68" s="15"/>
      <c r="BF68" s="15"/>
      <c r="BI68" s="15"/>
      <c r="BL68" s="15"/>
      <c r="BO68" s="15"/>
    </row>
    <row r="69" spans="4:67">
      <c r="D69" s="15"/>
      <c r="G69" s="15"/>
      <c r="J69" s="15"/>
      <c r="M69" s="15"/>
      <c r="P69" s="15"/>
      <c r="S69" s="15"/>
      <c r="V69" s="15"/>
      <c r="Y69" s="15"/>
      <c r="AB69" s="15"/>
      <c r="AE69" s="15"/>
      <c r="AH69" s="15"/>
      <c r="AK69" s="15"/>
      <c r="AN69" s="15"/>
      <c r="AQ69" s="15"/>
      <c r="AT69" s="15"/>
      <c r="AW69" s="15"/>
      <c r="AZ69" s="15"/>
      <c r="BC69" s="15"/>
      <c r="BF69" s="15"/>
      <c r="BI69" s="15"/>
      <c r="BL69" s="15"/>
      <c r="BO69" s="15"/>
    </row>
    <row r="70" spans="4:67">
      <c r="D70" s="15"/>
      <c r="G70" s="15"/>
      <c r="J70" s="15"/>
      <c r="M70" s="15"/>
      <c r="P70" s="15"/>
      <c r="S70" s="15"/>
      <c r="V70" s="15"/>
      <c r="Y70" s="15"/>
      <c r="AB70" s="15"/>
      <c r="AE70" s="15"/>
      <c r="AH70" s="15"/>
      <c r="AK70" s="15"/>
      <c r="AN70" s="15"/>
      <c r="AQ70" s="15"/>
      <c r="AT70" s="15"/>
      <c r="AW70" s="15"/>
      <c r="AZ70" s="15"/>
      <c r="BC70" s="15"/>
      <c r="BF70" s="15"/>
      <c r="BI70" s="15"/>
      <c r="BL70" s="15"/>
      <c r="BO70" s="15"/>
    </row>
    <row r="71" spans="4:67">
      <c r="D71" s="15"/>
      <c r="G71" s="15"/>
      <c r="J71" s="15"/>
      <c r="M71" s="15"/>
      <c r="P71" s="15"/>
      <c r="S71" s="15"/>
      <c r="V71" s="15"/>
      <c r="Y71" s="15"/>
      <c r="AB71" s="15"/>
      <c r="AE71" s="15"/>
      <c r="AH71" s="15"/>
      <c r="AK71" s="15"/>
      <c r="AN71" s="15"/>
      <c r="AQ71" s="15"/>
      <c r="AT71" s="15"/>
      <c r="AW71" s="15"/>
      <c r="AZ71" s="15"/>
      <c r="BC71" s="15"/>
      <c r="BF71" s="15"/>
      <c r="BI71" s="15"/>
      <c r="BL71" s="15"/>
      <c r="BO71" s="15"/>
    </row>
    <row r="72" spans="4:67">
      <c r="D72" s="15"/>
      <c r="G72" s="15"/>
      <c r="J72" s="15"/>
      <c r="M72" s="15"/>
      <c r="P72" s="15"/>
      <c r="S72" s="15"/>
      <c r="V72" s="15"/>
      <c r="Y72" s="15"/>
      <c r="AB72" s="15"/>
      <c r="AE72" s="15"/>
      <c r="AH72" s="15"/>
      <c r="AK72" s="15"/>
      <c r="AN72" s="15"/>
      <c r="AQ72" s="15"/>
      <c r="AT72" s="15"/>
      <c r="AW72" s="15"/>
      <c r="AZ72" s="15"/>
      <c r="BC72" s="15"/>
      <c r="BF72" s="15"/>
      <c r="BI72" s="15"/>
      <c r="BL72" s="15"/>
      <c r="BO72" s="15"/>
    </row>
    <row r="73" spans="4:67">
      <c r="D73" s="15"/>
      <c r="G73" s="15"/>
      <c r="J73" s="15"/>
      <c r="M73" s="15"/>
      <c r="P73" s="15"/>
      <c r="S73" s="15"/>
      <c r="V73" s="15"/>
      <c r="Y73" s="15"/>
      <c r="AB73" s="15"/>
      <c r="AE73" s="15"/>
      <c r="AH73" s="15"/>
      <c r="AK73" s="15"/>
      <c r="AN73" s="15"/>
      <c r="AQ73" s="15"/>
      <c r="AT73" s="15"/>
      <c r="AW73" s="15"/>
      <c r="AZ73" s="15"/>
      <c r="BC73" s="15"/>
      <c r="BF73" s="15"/>
      <c r="BI73" s="15"/>
      <c r="BL73" s="15"/>
      <c r="BO73" s="15"/>
    </row>
    <row r="74" spans="4:67">
      <c r="D74" s="15"/>
      <c r="G74" s="15"/>
      <c r="J74" s="15"/>
      <c r="M74" s="15"/>
      <c r="P74" s="15"/>
      <c r="S74" s="15"/>
      <c r="V74" s="15"/>
      <c r="Y74" s="15"/>
      <c r="AB74" s="15"/>
      <c r="AE74" s="15"/>
      <c r="AH74" s="15"/>
      <c r="AK74" s="15"/>
      <c r="AN74" s="15"/>
      <c r="AQ74" s="15"/>
      <c r="AT74" s="15"/>
      <c r="AW74" s="15"/>
      <c r="AZ74" s="15"/>
      <c r="BC74" s="15"/>
      <c r="BF74" s="15"/>
      <c r="BI74" s="15"/>
      <c r="BL74" s="15"/>
      <c r="BO74" s="15"/>
    </row>
    <row r="75" spans="4:67">
      <c r="D75" s="15"/>
      <c r="G75" s="15"/>
      <c r="J75" s="15"/>
      <c r="M75" s="15"/>
      <c r="P75" s="15"/>
      <c r="S75" s="15"/>
      <c r="V75" s="15"/>
      <c r="Y75" s="15"/>
      <c r="AB75" s="15"/>
      <c r="AE75" s="15"/>
      <c r="AH75" s="15"/>
      <c r="AK75" s="15"/>
      <c r="AN75" s="15"/>
      <c r="AQ75" s="15"/>
      <c r="AT75" s="15"/>
      <c r="AW75" s="15"/>
      <c r="AZ75" s="15"/>
      <c r="BC75" s="15"/>
      <c r="BF75" s="15"/>
      <c r="BI75" s="15"/>
      <c r="BL75" s="15"/>
      <c r="BO75" s="15"/>
    </row>
    <row r="76" spans="4:67">
      <c r="D76" s="15"/>
      <c r="G76" s="15"/>
      <c r="J76" s="15"/>
      <c r="M76" s="15"/>
      <c r="P76" s="15"/>
      <c r="S76" s="15"/>
      <c r="V76" s="15"/>
      <c r="Y76" s="15"/>
      <c r="AB76" s="15"/>
      <c r="AE76" s="15"/>
      <c r="AH76" s="15"/>
      <c r="AK76" s="15"/>
      <c r="AN76" s="15"/>
      <c r="AQ76" s="15"/>
      <c r="AT76" s="15"/>
      <c r="AW76" s="15"/>
      <c r="AZ76" s="15"/>
      <c r="BC76" s="15"/>
      <c r="BF76" s="15"/>
      <c r="BI76" s="15"/>
      <c r="BL76" s="15"/>
      <c r="BO76" s="15"/>
    </row>
    <row r="77" spans="4:67">
      <c r="D77" s="15"/>
      <c r="G77" s="15"/>
      <c r="J77" s="15"/>
      <c r="M77" s="15"/>
      <c r="P77" s="15"/>
      <c r="S77" s="15"/>
      <c r="V77" s="15"/>
      <c r="Y77" s="15"/>
      <c r="AB77" s="15"/>
      <c r="AE77" s="15"/>
      <c r="AH77" s="15"/>
      <c r="AK77" s="15"/>
      <c r="AN77" s="15"/>
      <c r="AQ77" s="15"/>
      <c r="AT77" s="15"/>
      <c r="AW77" s="15"/>
      <c r="AZ77" s="15"/>
      <c r="BC77" s="15"/>
      <c r="BF77" s="15"/>
      <c r="BI77" s="15"/>
      <c r="BL77" s="15"/>
      <c r="BO77" s="1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election activeCell="A17" sqref="A17"/>
    </sheetView>
  </sheetViews>
  <sheetFormatPr defaultColWidth="9.109375" defaultRowHeight="13.2"/>
  <cols>
    <col min="1" max="1" width="63.6640625" style="10" customWidth="1"/>
    <col min="2" max="2" width="12.44140625" style="10" customWidth="1"/>
    <col min="3" max="3" width="20.109375" style="10" customWidth="1"/>
    <col min="4" max="16384" width="9.109375" style="10"/>
  </cols>
  <sheetData>
    <row r="1" spans="1:3">
      <c r="A1" s="11" t="s">
        <v>183</v>
      </c>
    </row>
    <row r="5" spans="1:3">
      <c r="A5" s="10" t="s">
        <v>170</v>
      </c>
    </row>
    <row r="6" spans="1:3">
      <c r="A6" s="12" t="s">
        <v>171</v>
      </c>
      <c r="B6" s="16" t="s">
        <v>172</v>
      </c>
      <c r="C6" s="16" t="s">
        <v>173</v>
      </c>
    </row>
    <row r="7" spans="1:3">
      <c r="A7" s="10" t="s">
        <v>174</v>
      </c>
      <c r="B7" s="39">
        <v>12.35</v>
      </c>
      <c r="C7" s="39">
        <v>13.65</v>
      </c>
    </row>
    <row r="8" spans="1:3">
      <c r="A8" s="10" t="s">
        <v>175</v>
      </c>
      <c r="B8" s="39">
        <v>13.83</v>
      </c>
      <c r="C8" s="39">
        <v>13.65</v>
      </c>
    </row>
    <row r="9" spans="1:3">
      <c r="A9" s="10" t="s">
        <v>176</v>
      </c>
      <c r="B9" s="39">
        <v>17.91</v>
      </c>
      <c r="C9" s="39">
        <v>19.41</v>
      </c>
    </row>
    <row r="10" spans="1:3">
      <c r="A10" s="10" t="s">
        <v>177</v>
      </c>
      <c r="B10" s="39">
        <v>11.45</v>
      </c>
      <c r="C10" s="39">
        <v>12.11</v>
      </c>
    </row>
    <row r="11" spans="1:3">
      <c r="A11" s="10" t="s">
        <v>178</v>
      </c>
      <c r="B11" s="39">
        <v>12.93</v>
      </c>
      <c r="C11" s="39">
        <v>12.11</v>
      </c>
    </row>
    <row r="12" spans="1:3">
      <c r="A12" s="10" t="s">
        <v>179</v>
      </c>
      <c r="B12" s="39">
        <v>17</v>
      </c>
      <c r="C12" s="39">
        <v>17.86</v>
      </c>
    </row>
    <row r="13" spans="1:3">
      <c r="B13" s="39"/>
      <c r="C13" s="39"/>
    </row>
    <row r="14" spans="1:3">
      <c r="A14" s="10" t="s">
        <v>180</v>
      </c>
      <c r="B14" s="39"/>
      <c r="C14" s="39"/>
    </row>
    <row r="15" spans="1:3">
      <c r="A15" s="12" t="s">
        <v>171</v>
      </c>
      <c r="B15" s="42" t="s">
        <v>172</v>
      </c>
      <c r="C15" s="42" t="s">
        <v>173</v>
      </c>
    </row>
    <row r="16" spans="1:3">
      <c r="A16" s="10" t="s">
        <v>1441</v>
      </c>
      <c r="B16" s="43">
        <v>186800.91177999999</v>
      </c>
      <c r="C16" s="43">
        <v>120679.12827402601</v>
      </c>
    </row>
    <row r="17" spans="1:4">
      <c r="A17" s="10" t="s">
        <v>1439</v>
      </c>
      <c r="B17" s="43">
        <v>186800.91177999999</v>
      </c>
      <c r="C17" s="43">
        <v>120679.12827402601</v>
      </c>
    </row>
    <row r="18" spans="1:4">
      <c r="A18" s="10" t="s">
        <v>1440</v>
      </c>
      <c r="B18" s="43">
        <v>3036963.151296</v>
      </c>
      <c r="C18" s="43">
        <v>1652218.2425390701</v>
      </c>
    </row>
    <row r="19" spans="1:4">
      <c r="A19" s="10" t="s">
        <v>181</v>
      </c>
      <c r="B19" s="39">
        <v>6.1509</v>
      </c>
      <c r="C19" s="39">
        <v>7.3040669999999999</v>
      </c>
    </row>
    <row r="20" spans="1:4">
      <c r="A20" s="10" t="s">
        <v>182</v>
      </c>
      <c r="B20" s="39">
        <v>6.1509</v>
      </c>
      <c r="C20" s="39">
        <v>7.3040669999999999</v>
      </c>
    </row>
    <row r="22" spans="1:4">
      <c r="A22" s="11"/>
    </row>
    <row r="26" spans="1:4">
      <c r="A26" s="11"/>
      <c r="D26" s="11"/>
    </row>
    <row r="30" spans="1:4">
      <c r="A30" s="11"/>
      <c r="D30" s="11"/>
    </row>
    <row r="34" spans="1:4">
      <c r="A34" s="11"/>
      <c r="D34" s="11"/>
    </row>
    <row r="38" spans="1:4">
      <c r="B38" s="43"/>
      <c r="C38" s="43"/>
    </row>
    <row r="39" spans="1:4">
      <c r="B39" s="43"/>
      <c r="C39" s="43"/>
    </row>
    <row r="40" spans="1:4">
      <c r="B40" s="39"/>
      <c r="C40" s="39"/>
    </row>
    <row r="41" spans="1:4">
      <c r="B41" s="39"/>
      <c r="C41" s="39"/>
    </row>
  </sheetData>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heetViews>
  <sheetFormatPr defaultColWidth="9.109375" defaultRowHeight="13.2"/>
  <cols>
    <col min="1" max="1" width="26.109375" style="10" customWidth="1"/>
    <col min="2" max="5" width="17.109375" style="10" customWidth="1"/>
    <col min="6" max="16384" width="9.109375" style="10"/>
  </cols>
  <sheetData>
    <row r="1" spans="1:6">
      <c r="A1" s="11" t="s">
        <v>1117</v>
      </c>
    </row>
    <row r="5" spans="1:6">
      <c r="B5" s="16">
        <v>2019</v>
      </c>
      <c r="C5" s="16"/>
      <c r="D5" s="16">
        <v>2018</v>
      </c>
      <c r="E5" s="12"/>
    </row>
    <row r="6" spans="1:6">
      <c r="A6" s="12" t="s">
        <v>1118</v>
      </c>
      <c r="B6" s="12" t="s">
        <v>257</v>
      </c>
      <c r="C6" s="12" t="s">
        <v>171</v>
      </c>
      <c r="D6" s="12" t="s">
        <v>257</v>
      </c>
      <c r="E6" s="12" t="s">
        <v>171</v>
      </c>
    </row>
    <row r="7" spans="1:6">
      <c r="A7" s="10" t="s">
        <v>1414</v>
      </c>
      <c r="B7" s="43">
        <v>90.638701680000011</v>
      </c>
      <c r="C7" s="207">
        <v>0.48915161995923628</v>
      </c>
      <c r="D7" s="43"/>
      <c r="E7" s="39"/>
    </row>
    <row r="8" spans="1:6">
      <c r="A8" s="10" t="s">
        <v>1415</v>
      </c>
      <c r="B8" s="43">
        <v>73.339549109999879</v>
      </c>
      <c r="C8" s="207">
        <v>0.3957929514578678</v>
      </c>
      <c r="D8" s="43"/>
      <c r="E8" s="39"/>
    </row>
    <row r="9" spans="1:6">
      <c r="A9" s="10" t="s">
        <v>1416</v>
      </c>
      <c r="B9" s="43">
        <v>21.319513709999995</v>
      </c>
      <c r="C9" s="207">
        <v>0.11505542858289587</v>
      </c>
      <c r="D9" s="43"/>
      <c r="E9" s="39"/>
    </row>
    <row r="10" spans="1:6">
      <c r="A10" s="10" t="s">
        <v>209</v>
      </c>
      <c r="B10" s="43">
        <f>SUM(B7:B9)</f>
        <v>185.29776449999989</v>
      </c>
      <c r="C10" s="207">
        <f t="shared" ref="C10:E10" si="0">SUM(C7:C9)</f>
        <v>0.99999999999999989</v>
      </c>
      <c r="D10" s="43">
        <f t="shared" si="0"/>
        <v>0</v>
      </c>
      <c r="E10" s="43">
        <f t="shared" si="0"/>
        <v>0</v>
      </c>
      <c r="F10" s="43"/>
    </row>
  </sheetData>
  <pageMargins left="0.7" right="0.7" top="0.75" bottom="0.75" header="0.3" footer="0.3"/>
  <pageSetup paperSize="9" orientation="portrait" verticalDpi="0"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election activeCell="D32" sqref="D32:E32"/>
    </sheetView>
  </sheetViews>
  <sheetFormatPr defaultColWidth="9.109375" defaultRowHeight="13.2"/>
  <cols>
    <col min="1" max="1" width="34.5546875" style="10" customWidth="1"/>
    <col min="2" max="11" width="14.109375" style="10" customWidth="1"/>
    <col min="12" max="16384" width="9.109375" style="10"/>
  </cols>
  <sheetData>
    <row r="1" spans="1:9">
      <c r="A1" s="11" t="s">
        <v>1119</v>
      </c>
    </row>
    <row r="5" spans="1:9" ht="26.4">
      <c r="B5" s="22"/>
      <c r="C5" s="22"/>
      <c r="D5" s="22" t="s">
        <v>1121</v>
      </c>
      <c r="E5" s="22"/>
      <c r="F5" s="12"/>
    </row>
    <row r="6" spans="1:9" ht="39.6">
      <c r="A6" s="12" t="s">
        <v>1444</v>
      </c>
      <c r="B6" s="22" t="s">
        <v>1120</v>
      </c>
      <c r="C6" s="22" t="s">
        <v>1096</v>
      </c>
      <c r="D6" s="22" t="s">
        <v>1122</v>
      </c>
      <c r="E6" s="22" t="s">
        <v>1096</v>
      </c>
      <c r="F6" s="22" t="s">
        <v>209</v>
      </c>
      <c r="G6" s="22" t="s">
        <v>1123</v>
      </c>
      <c r="H6" s="22" t="s">
        <v>1124</v>
      </c>
    </row>
    <row r="7" spans="1:9">
      <c r="A7" s="10" t="s">
        <v>1125</v>
      </c>
    </row>
    <row r="8" spans="1:9">
      <c r="A8" s="10" t="s">
        <v>1130</v>
      </c>
      <c r="B8" s="43">
        <f>11715.68/1000</f>
        <v>11.715680000000001</v>
      </c>
      <c r="C8" s="43">
        <v>0</v>
      </c>
      <c r="D8" s="43">
        <f>655.2144/1000</f>
        <v>0.65521439999999997</v>
      </c>
      <c r="E8" s="43">
        <v>0</v>
      </c>
      <c r="F8" s="43">
        <f>655.2144/1000</f>
        <v>0.65521439999999997</v>
      </c>
      <c r="G8" s="59">
        <v>6.9999999999999999E-6</v>
      </c>
      <c r="H8" s="58">
        <v>5.0000000000000001E-3</v>
      </c>
      <c r="I8" s="11"/>
    </row>
    <row r="9" spans="1:9">
      <c r="A9" s="10" t="s">
        <v>400</v>
      </c>
      <c r="B9" s="43">
        <f>7585.54/1000</f>
        <v>7.5855399999999999</v>
      </c>
      <c r="C9" s="43">
        <v>0</v>
      </c>
      <c r="D9" s="43">
        <f>72.7416/1000</f>
        <v>7.2741600000000003E-2</v>
      </c>
      <c r="E9" s="43">
        <v>0</v>
      </c>
      <c r="F9" s="43">
        <f>72.7416/1000</f>
        <v>7.2741600000000003E-2</v>
      </c>
      <c r="G9" s="59">
        <v>9.9999999999999995E-7</v>
      </c>
      <c r="H9" s="58">
        <v>0.01</v>
      </c>
      <c r="I9" s="11"/>
    </row>
    <row r="10" spans="1:9">
      <c r="A10" s="10" t="s">
        <v>1126</v>
      </c>
      <c r="B10" s="43">
        <f>3329026.45/1000</f>
        <v>3329.0264500000003</v>
      </c>
      <c r="C10" s="43">
        <v>0</v>
      </c>
      <c r="D10" s="43">
        <f>8790.6784/1000</f>
        <v>8.7906784000000009</v>
      </c>
      <c r="E10" s="43">
        <f>49.7752/1000</f>
        <v>4.9775199999999999E-2</v>
      </c>
      <c r="F10" s="43">
        <f>8840.4536/1000</f>
        <v>8.8404536</v>
      </c>
      <c r="G10" s="59">
        <v>9.0000000000000006E-5</v>
      </c>
      <c r="H10" s="58">
        <v>2.5000000000000001E-3</v>
      </c>
    </row>
    <row r="11" spans="1:9">
      <c r="A11" s="10" t="s">
        <v>1128</v>
      </c>
      <c r="B11" s="43">
        <f>316359.36/1000</f>
        <v>316.35935999999998</v>
      </c>
      <c r="C11" s="43">
        <f>496.85/1000</f>
        <v>0.49685000000000001</v>
      </c>
      <c r="D11" s="43">
        <f>13016.0832/1000</f>
        <v>13.016083199999999</v>
      </c>
      <c r="E11" s="43">
        <f>39.748/1000</f>
        <v>3.9747999999999999E-2</v>
      </c>
      <c r="F11" s="43">
        <f>13055.8312/1000</f>
        <v>13.0558312</v>
      </c>
      <c r="G11" s="59">
        <v>1.3300000000000001E-4</v>
      </c>
      <c r="H11" s="58">
        <v>0.01</v>
      </c>
      <c r="I11" s="11"/>
    </row>
    <row r="12" spans="1:9">
      <c r="A12" s="10" t="s">
        <v>1129</v>
      </c>
      <c r="B12" s="43">
        <f>335670.21/1000</f>
        <v>335.67021</v>
      </c>
      <c r="C12" s="43">
        <f>6131.66/1000</f>
        <v>6.1316600000000001</v>
      </c>
      <c r="D12" s="43">
        <f>6077.6744/1000</f>
        <v>6.0776744000000003</v>
      </c>
      <c r="E12" s="43">
        <f>490.5328/1000</f>
        <v>0.49053279999999999</v>
      </c>
      <c r="F12" s="43">
        <f>6568.2072/1000</f>
        <v>6.5682071999999998</v>
      </c>
      <c r="G12" s="59">
        <v>6.7000000000000002E-5</v>
      </c>
      <c r="H12" s="58">
        <v>0.01</v>
      </c>
      <c r="I12" s="11"/>
    </row>
    <row r="13" spans="1:9">
      <c r="A13" s="10" t="s">
        <v>402</v>
      </c>
      <c r="B13" s="43">
        <f>857737.79/1000</f>
        <v>857.73779000000002</v>
      </c>
      <c r="C13" s="43">
        <f>177.72/1000</f>
        <v>0.17771999999999999</v>
      </c>
      <c r="D13" s="43">
        <f>25699.7464/1000</f>
        <v>25.699746399999999</v>
      </c>
      <c r="E13" s="43">
        <f>14.2176/1000</f>
        <v>1.4217599999999999E-2</v>
      </c>
      <c r="F13" s="43">
        <f>25713.964/1000</f>
        <v>25.713964000000001</v>
      </c>
      <c r="G13" s="59">
        <v>2.6200000000000003E-4</v>
      </c>
      <c r="H13" s="58">
        <v>2.5000000000000001E-2</v>
      </c>
      <c r="I13" s="11"/>
    </row>
    <row r="14" spans="1:9">
      <c r="A14" s="10" t="s">
        <v>403</v>
      </c>
      <c r="B14" s="43">
        <f>2523917.32/1000</f>
        <v>2523.91732</v>
      </c>
      <c r="C14" s="43">
        <f>1409.1/1000</f>
        <v>1.4091</v>
      </c>
      <c r="D14" s="43">
        <f>183736.668/1000</f>
        <v>183.73666800000001</v>
      </c>
      <c r="E14" s="43">
        <f>112.728/1000</f>
        <v>0.11272799999999999</v>
      </c>
      <c r="F14" s="43">
        <f>183849.396/1000</f>
        <v>183.84939600000001</v>
      </c>
      <c r="G14" s="59">
        <v>1.8730000000000001E-3</v>
      </c>
      <c r="H14" s="58">
        <v>2.5000000000000001E-2</v>
      </c>
      <c r="I14" s="11"/>
    </row>
    <row r="15" spans="1:9">
      <c r="A15" s="10" t="s">
        <v>1127</v>
      </c>
      <c r="B15" s="43">
        <f>14483876.29/1000</f>
        <v>14483.876289999998</v>
      </c>
      <c r="C15" s="43">
        <f>297723.33/1000</f>
        <v>297.72333000000003</v>
      </c>
      <c r="D15" s="43">
        <f>1115346.7976/1000</f>
        <v>1115.3467975999999</v>
      </c>
      <c r="E15" s="43">
        <f>23817.8664/1000</f>
        <v>23.8178664</v>
      </c>
      <c r="F15" s="43">
        <f>1139164.664/1000</f>
        <v>1139.1646640000001</v>
      </c>
      <c r="G15" s="59">
        <v>1.1608E-2</v>
      </c>
      <c r="H15" s="58">
        <v>0.01</v>
      </c>
      <c r="I15" s="11"/>
    </row>
    <row r="16" spans="1:9">
      <c r="B16" s="43"/>
      <c r="C16" s="43"/>
      <c r="D16" s="43"/>
      <c r="E16" s="43"/>
      <c r="F16" s="43"/>
      <c r="G16" s="43"/>
      <c r="H16" s="43"/>
      <c r="I16" s="43"/>
    </row>
    <row r="17" spans="1:9">
      <c r="B17" s="43"/>
      <c r="C17" s="43"/>
      <c r="D17" s="43"/>
      <c r="E17" s="43"/>
      <c r="F17" s="43"/>
      <c r="G17" s="43"/>
      <c r="H17" s="43"/>
      <c r="I17" s="43"/>
    </row>
    <row r="18" spans="1:9">
      <c r="A18" s="12" t="s">
        <v>1444</v>
      </c>
      <c r="B18" s="44"/>
      <c r="C18" s="44"/>
      <c r="D18" s="44"/>
      <c r="E18" s="44"/>
      <c r="F18" s="44"/>
      <c r="G18" s="47" t="s">
        <v>1131</v>
      </c>
      <c r="H18" s="43"/>
      <c r="I18" s="43"/>
    </row>
    <row r="19" spans="1:9">
      <c r="A19" s="10" t="s">
        <v>1132</v>
      </c>
      <c r="B19" s="43"/>
      <c r="C19" s="43"/>
      <c r="D19" s="43"/>
      <c r="E19" s="43"/>
      <c r="F19" s="43"/>
      <c r="G19" s="46">
        <v>21865.888639999997</v>
      </c>
      <c r="H19" s="43"/>
      <c r="I19" s="43"/>
    </row>
    <row r="20" spans="1:9">
      <c r="A20" s="10" t="s">
        <v>1133</v>
      </c>
      <c r="B20" s="43"/>
      <c r="C20" s="43"/>
      <c r="D20" s="43"/>
      <c r="E20" s="43"/>
      <c r="F20" s="43"/>
      <c r="G20" s="59">
        <v>1.7200000000000001E-4</v>
      </c>
      <c r="H20" s="43"/>
      <c r="I20" s="43"/>
    </row>
    <row r="21" spans="1:9">
      <c r="A21" s="10" t="s">
        <v>1134</v>
      </c>
      <c r="B21" s="43"/>
      <c r="C21" s="43"/>
      <c r="D21" s="43"/>
      <c r="E21" s="43"/>
      <c r="F21" s="43"/>
      <c r="G21" s="43">
        <f>232255.699237575/1000</f>
        <v>232.25569923757499</v>
      </c>
    </row>
    <row r="35" spans="2:10">
      <c r="B35" s="43"/>
      <c r="C35" s="43"/>
      <c r="D35" s="43"/>
      <c r="E35" s="43"/>
      <c r="F35" s="43"/>
      <c r="G35" s="59"/>
      <c r="H35" s="43"/>
      <c r="I35" s="43"/>
      <c r="J35" s="43"/>
    </row>
    <row r="36" spans="2:10">
      <c r="B36" s="43"/>
      <c r="C36" s="43"/>
      <c r="D36" s="43"/>
      <c r="E36" s="43"/>
      <c r="F36" s="43"/>
      <c r="G36" s="43"/>
      <c r="H36" s="43"/>
      <c r="I36" s="43"/>
      <c r="J36" s="43"/>
    </row>
  </sheetData>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A5" sqref="A5"/>
    </sheetView>
  </sheetViews>
  <sheetFormatPr defaultColWidth="9.109375" defaultRowHeight="13.2"/>
  <cols>
    <col min="1" max="1" width="55.88671875" style="10" customWidth="1"/>
    <col min="2" max="2" width="30.6640625" style="10" customWidth="1"/>
    <col min="3" max="3" width="22.88671875" style="10" customWidth="1"/>
    <col min="4" max="5" width="18.33203125" style="10" customWidth="1"/>
    <col min="6" max="6" width="11.6640625" style="10" customWidth="1"/>
    <col min="7" max="7" width="12.5546875" style="10" customWidth="1"/>
    <col min="8" max="8" width="38.109375" style="10" customWidth="1"/>
    <col min="9" max="9" width="18.33203125" style="10" customWidth="1"/>
    <col min="10" max="16384" width="9.109375" style="10"/>
  </cols>
  <sheetData>
    <row r="1" spans="1:2">
      <c r="A1" s="11" t="s">
        <v>1135</v>
      </c>
    </row>
    <row r="4" spans="1:2" ht="15" customHeight="1">
      <c r="A4" s="357"/>
      <c r="B4" s="356"/>
    </row>
    <row r="5" spans="1:2">
      <c r="A5" s="355" t="s">
        <v>1527</v>
      </c>
    </row>
  </sheetData>
  <pageMargins left="0.7" right="0.7" top="0.75" bottom="0.75" header="0.3" footer="0.3"/>
  <pageSetup paperSize="9" orientation="portrait" verticalDpi="0" r:id="rId1"/>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5" sqref="A5"/>
    </sheetView>
  </sheetViews>
  <sheetFormatPr defaultColWidth="9.109375" defaultRowHeight="13.2"/>
  <cols>
    <col min="1" max="1" width="60" style="10" customWidth="1"/>
    <col min="2" max="2" width="45.44140625" style="10" customWidth="1"/>
    <col min="3" max="3" width="27.6640625" style="10" customWidth="1"/>
    <col min="4" max="16384" width="9.109375" style="10"/>
  </cols>
  <sheetData>
    <row r="1" spans="1:2">
      <c r="A1" s="11" t="s">
        <v>1137</v>
      </c>
    </row>
    <row r="4" spans="1:2">
      <c r="A4" s="10" t="s">
        <v>1540</v>
      </c>
    </row>
    <row r="6" spans="1:2">
      <c r="A6" s="12" t="s">
        <v>1138</v>
      </c>
      <c r="B6" s="12" t="s">
        <v>1139</v>
      </c>
    </row>
    <row r="7" spans="1:2">
      <c r="A7" s="10" t="s">
        <v>1539</v>
      </c>
    </row>
    <row r="8" spans="1:2">
      <c r="A8" s="10" t="s">
        <v>1140</v>
      </c>
      <c r="B8" s="10" t="s">
        <v>1538</v>
      </c>
    </row>
    <row r="9" spans="1:2">
      <c r="A9" s="10" t="s">
        <v>1141</v>
      </c>
      <c r="B9" s="10" t="s">
        <v>1537</v>
      </c>
    </row>
    <row r="10" spans="1:2">
      <c r="A10" s="10" t="s">
        <v>1142</v>
      </c>
      <c r="B10" s="10" t="s">
        <v>1536</v>
      </c>
    </row>
    <row r="11" spans="1:2">
      <c r="A11" s="10" t="s">
        <v>1143</v>
      </c>
      <c r="B11" s="10" t="s">
        <v>1535</v>
      </c>
    </row>
    <row r="12" spans="1:2">
      <c r="A12" s="10" t="s">
        <v>1144</v>
      </c>
      <c r="B12" s="10" t="s">
        <v>1534</v>
      </c>
    </row>
    <row r="13" spans="1:2">
      <c r="A13" s="10" t="s">
        <v>31</v>
      </c>
      <c r="B13" s="10" t="s">
        <v>1534</v>
      </c>
    </row>
    <row r="14" spans="1:2">
      <c r="A14" s="10" t="s">
        <v>793</v>
      </c>
      <c r="B14" s="10" t="s">
        <v>1534</v>
      </c>
    </row>
    <row r="15" spans="1:2">
      <c r="A15" s="10" t="s">
        <v>1145</v>
      </c>
      <c r="B15" s="10" t="s">
        <v>1534</v>
      </c>
    </row>
    <row r="16" spans="1:2">
      <c r="A16" s="10" t="s">
        <v>1146</v>
      </c>
      <c r="B16" s="10" t="s">
        <v>1533</v>
      </c>
    </row>
    <row r="17" spans="1:2">
      <c r="A17" s="10" t="s">
        <v>1147</v>
      </c>
      <c r="B17" s="10" t="s">
        <v>1533</v>
      </c>
    </row>
    <row r="18" spans="1:2">
      <c r="A18" s="10" t="s">
        <v>1148</v>
      </c>
      <c r="B18" s="10" t="s">
        <v>1532</v>
      </c>
    </row>
    <row r="19" spans="1:2">
      <c r="A19" s="10" t="s">
        <v>1149</v>
      </c>
      <c r="B19" s="10" t="s">
        <v>1531</v>
      </c>
    </row>
    <row r="20" spans="1:2">
      <c r="A20" s="10" t="s">
        <v>1150</v>
      </c>
    </row>
    <row r="21" spans="1:2">
      <c r="A21" s="10" t="s">
        <v>1151</v>
      </c>
      <c r="B21" s="10" t="s">
        <v>1530</v>
      </c>
    </row>
    <row r="23" spans="1:2">
      <c r="A23" s="10" t="s">
        <v>1153</v>
      </c>
      <c r="B23" s="10" t="s">
        <v>1529</v>
      </c>
    </row>
    <row r="24" spans="1:2">
      <c r="A24" s="10" t="s">
        <v>1154</v>
      </c>
      <c r="B24" s="10" t="s">
        <v>1528</v>
      </c>
    </row>
  </sheetData>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election activeCell="A5" sqref="A5"/>
    </sheetView>
  </sheetViews>
  <sheetFormatPr defaultColWidth="9.109375" defaultRowHeight="13.2"/>
  <cols>
    <col min="1" max="1" width="15.6640625" style="290" customWidth="1"/>
    <col min="2" max="2" width="53.44140625" style="19" customWidth="1"/>
    <col min="3" max="3" width="64" style="19" customWidth="1"/>
    <col min="4" max="16384" width="9.109375" style="10"/>
  </cols>
  <sheetData>
    <row r="1" spans="1:3">
      <c r="A1" s="96" t="s">
        <v>1155</v>
      </c>
    </row>
    <row r="5" spans="1:3">
      <c r="A5" s="291" t="s">
        <v>1156</v>
      </c>
      <c r="B5" s="22" t="s">
        <v>1157</v>
      </c>
      <c r="C5" s="22" t="s">
        <v>1138</v>
      </c>
    </row>
    <row r="6" spans="1:3">
      <c r="A6" s="50" t="s">
        <v>1158</v>
      </c>
    </row>
    <row r="7" spans="1:3">
      <c r="A7" s="290" t="s">
        <v>1159</v>
      </c>
      <c r="B7" s="19" t="s">
        <v>1160</v>
      </c>
      <c r="C7" s="19" t="s">
        <v>1558</v>
      </c>
    </row>
    <row r="8" spans="1:3">
      <c r="A8" s="290" t="s">
        <v>1161</v>
      </c>
      <c r="B8" s="19" t="s">
        <v>1162</v>
      </c>
      <c r="C8" s="19" t="s">
        <v>1557</v>
      </c>
    </row>
    <row r="9" spans="1:3" ht="52.8">
      <c r="A9" s="290" t="s">
        <v>1163</v>
      </c>
      <c r="B9" s="19" t="s">
        <v>1164</v>
      </c>
      <c r="C9" s="19" t="s">
        <v>1556</v>
      </c>
    </row>
    <row r="10" spans="1:3" ht="26.4">
      <c r="A10" s="290" t="s">
        <v>1165</v>
      </c>
      <c r="B10" s="19" t="s">
        <v>1166</v>
      </c>
      <c r="C10" s="19" t="s">
        <v>1555</v>
      </c>
    </row>
    <row r="12" spans="1:3">
      <c r="A12" s="95" t="s">
        <v>1167</v>
      </c>
    </row>
    <row r="13" spans="1:3">
      <c r="A13" s="290" t="s">
        <v>1168</v>
      </c>
      <c r="B13" s="19" t="s">
        <v>1169</v>
      </c>
      <c r="C13" s="19" t="s">
        <v>1554</v>
      </c>
    </row>
    <row r="14" spans="1:3">
      <c r="A14" s="290" t="s">
        <v>1170</v>
      </c>
      <c r="B14" s="19" t="s">
        <v>1171</v>
      </c>
      <c r="C14" s="19" t="s">
        <v>1553</v>
      </c>
    </row>
    <row r="15" spans="1:3">
      <c r="A15" s="290" t="s">
        <v>1173</v>
      </c>
      <c r="B15" s="19" t="s">
        <v>1174</v>
      </c>
      <c r="C15" s="19" t="s">
        <v>1552</v>
      </c>
    </row>
    <row r="16" spans="1:3" ht="26.4">
      <c r="A16" s="290" t="s">
        <v>1175</v>
      </c>
      <c r="B16" s="19" t="s">
        <v>537</v>
      </c>
      <c r="C16" s="19" t="s">
        <v>1551</v>
      </c>
    </row>
    <row r="17" spans="1:3">
      <c r="A17" s="290" t="s">
        <v>1176</v>
      </c>
      <c r="B17" s="19" t="s">
        <v>1177</v>
      </c>
      <c r="C17" s="19" t="s">
        <v>1550</v>
      </c>
    </row>
    <row r="18" spans="1:3">
      <c r="A18" s="290" t="s">
        <v>1178</v>
      </c>
      <c r="B18" s="19" t="s">
        <v>1152</v>
      </c>
      <c r="C18" s="19" t="s">
        <v>1172</v>
      </c>
    </row>
    <row r="19" spans="1:3">
      <c r="A19" s="290" t="s">
        <v>1179</v>
      </c>
      <c r="B19" s="19" t="s">
        <v>1180</v>
      </c>
      <c r="C19" s="19" t="s">
        <v>1541</v>
      </c>
    </row>
    <row r="20" spans="1:3">
      <c r="A20" s="290" t="s">
        <v>1181</v>
      </c>
      <c r="B20" s="19" t="s">
        <v>1182</v>
      </c>
      <c r="C20" s="19" t="s">
        <v>1549</v>
      </c>
    </row>
    <row r="21" spans="1:3">
      <c r="A21" s="290" t="s">
        <v>1183</v>
      </c>
      <c r="B21" s="19" t="s">
        <v>1184</v>
      </c>
      <c r="C21" s="19" t="s">
        <v>1548</v>
      </c>
    </row>
    <row r="22" spans="1:3">
      <c r="A22" s="290" t="s">
        <v>1185</v>
      </c>
      <c r="B22" s="19" t="s">
        <v>1186</v>
      </c>
      <c r="C22" s="19" t="s">
        <v>1547</v>
      </c>
    </row>
    <row r="23" spans="1:3">
      <c r="A23" s="290" t="s">
        <v>1187</v>
      </c>
      <c r="B23" s="19" t="s">
        <v>94</v>
      </c>
      <c r="C23" s="19" t="s">
        <v>1546</v>
      </c>
    </row>
    <row r="24" spans="1:3">
      <c r="A24" s="290" t="s">
        <v>1188</v>
      </c>
      <c r="B24" s="19" t="s">
        <v>1189</v>
      </c>
      <c r="C24" s="19" t="s">
        <v>1545</v>
      </c>
    </row>
    <row r="25" spans="1:3">
      <c r="A25" s="290" t="s">
        <v>1190</v>
      </c>
      <c r="B25" s="19" t="s">
        <v>1191</v>
      </c>
      <c r="C25" s="19" t="s">
        <v>1544</v>
      </c>
    </row>
    <row r="26" spans="1:3">
      <c r="A26" s="290" t="s">
        <v>1192</v>
      </c>
      <c r="B26" s="19" t="s">
        <v>1193</v>
      </c>
      <c r="C26" s="19" t="s">
        <v>1543</v>
      </c>
    </row>
    <row r="27" spans="1:3">
      <c r="A27" s="290" t="s">
        <v>1194</v>
      </c>
      <c r="B27" s="19" t="s">
        <v>793</v>
      </c>
      <c r="C27" s="19" t="s">
        <v>1542</v>
      </c>
    </row>
    <row r="28" spans="1:3">
      <c r="A28" s="290" t="s">
        <v>1195</v>
      </c>
      <c r="B28" s="19" t="s">
        <v>1196</v>
      </c>
      <c r="C28" s="19" t="s">
        <v>1172</v>
      </c>
    </row>
    <row r="29" spans="1:3">
      <c r="A29" s="290" t="s">
        <v>1197</v>
      </c>
      <c r="B29" s="19" t="s">
        <v>1198</v>
      </c>
      <c r="C29" s="19" t="s">
        <v>1541</v>
      </c>
    </row>
    <row r="30" spans="1:3" ht="26.4">
      <c r="A30" s="290" t="s">
        <v>1199</v>
      </c>
      <c r="B30" s="19" t="s">
        <v>1200</v>
      </c>
      <c r="C30" s="19" t="s">
        <v>1172</v>
      </c>
    </row>
    <row r="31" spans="1:3">
      <c r="A31" s="290" t="s">
        <v>1201</v>
      </c>
      <c r="B31" s="19" t="s">
        <v>1202</v>
      </c>
      <c r="C31" s="19" t="s">
        <v>1172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workbookViewId="0">
      <selection activeCell="E24" sqref="E24"/>
    </sheetView>
  </sheetViews>
  <sheetFormatPr defaultColWidth="9.109375" defaultRowHeight="14.4"/>
  <cols>
    <col min="1" max="1" width="6.6640625" style="14" customWidth="1"/>
    <col min="2" max="2" width="63.5546875" style="14" customWidth="1"/>
    <col min="3" max="3" width="13.88671875" style="14" customWidth="1"/>
    <col min="4" max="4" width="15" style="14" customWidth="1"/>
    <col min="5" max="5" width="17.33203125" style="14" customWidth="1"/>
    <col min="6" max="6" width="14.88671875" style="14" customWidth="1"/>
    <col min="7" max="16384" width="9.109375" style="14"/>
  </cols>
  <sheetData>
    <row r="1" spans="1:6">
      <c r="A1" s="17" t="s">
        <v>1442</v>
      </c>
    </row>
    <row r="4" spans="1:6">
      <c r="E4" s="237"/>
    </row>
    <row r="5" spans="1:6">
      <c r="A5" s="10"/>
      <c r="B5" s="10"/>
      <c r="C5" s="16" t="s">
        <v>1443</v>
      </c>
      <c r="D5" s="18"/>
      <c r="E5" s="16"/>
      <c r="F5" s="16" t="s">
        <v>185</v>
      </c>
    </row>
    <row r="6" spans="1:6">
      <c r="A6" s="12"/>
      <c r="B6" s="12" t="s">
        <v>1444</v>
      </c>
      <c r="C6" s="16" t="s">
        <v>124</v>
      </c>
      <c r="D6" s="16" t="s">
        <v>125</v>
      </c>
      <c r="E6" s="16" t="s">
        <v>124</v>
      </c>
      <c r="F6" s="16" t="s">
        <v>125</v>
      </c>
    </row>
    <row r="7" spans="1:6">
      <c r="A7" s="10">
        <v>1</v>
      </c>
      <c r="B7" s="10" t="s">
        <v>186</v>
      </c>
      <c r="C7" s="43">
        <v>1231298.8486339999</v>
      </c>
      <c r="D7" s="43">
        <v>787696.19146600005</v>
      </c>
      <c r="E7" s="43">
        <f t="shared" ref="E7:F9" si="0">0.08*C7</f>
        <v>98503.907890720002</v>
      </c>
      <c r="F7" s="43">
        <f t="shared" si="0"/>
        <v>63015.695317280006</v>
      </c>
    </row>
    <row r="8" spans="1:6">
      <c r="A8" s="10">
        <v>2</v>
      </c>
      <c r="B8" s="10" t="s">
        <v>188</v>
      </c>
      <c r="C8" s="43">
        <f>C7</f>
        <v>1231298.8486339999</v>
      </c>
      <c r="D8" s="43">
        <f>D7</f>
        <v>787696.19146600005</v>
      </c>
      <c r="E8" s="43">
        <f t="shared" si="0"/>
        <v>98503.907890720002</v>
      </c>
      <c r="F8" s="43">
        <f t="shared" si="0"/>
        <v>63015.695317280006</v>
      </c>
    </row>
    <row r="9" spans="1:6">
      <c r="A9" s="10">
        <v>3</v>
      </c>
      <c r="B9" s="10" t="s">
        <v>187</v>
      </c>
      <c r="C9" s="43">
        <v>35.314605999999998</v>
      </c>
      <c r="D9" s="43">
        <v>87.092150000000004</v>
      </c>
      <c r="E9" s="43">
        <f t="shared" si="0"/>
        <v>2.8251684799999999</v>
      </c>
      <c r="F9" s="43">
        <f t="shared" si="0"/>
        <v>6.9673720000000001</v>
      </c>
    </row>
    <row r="10" spans="1:6">
      <c r="A10" s="10">
        <v>4</v>
      </c>
      <c r="B10" s="10" t="s">
        <v>191</v>
      </c>
      <c r="C10" s="43">
        <v>35</v>
      </c>
      <c r="D10" s="43">
        <v>87</v>
      </c>
      <c r="E10" s="43">
        <v>3</v>
      </c>
      <c r="F10" s="43">
        <v>7</v>
      </c>
    </row>
    <row r="11" spans="1:6">
      <c r="A11" s="10">
        <v>5</v>
      </c>
      <c r="B11" s="10" t="s">
        <v>1445</v>
      </c>
      <c r="C11" s="43">
        <v>22.214656850000001</v>
      </c>
      <c r="D11" s="43">
        <v>40.743080300000003</v>
      </c>
      <c r="E11" s="43">
        <f t="shared" ref="E11:F14" si="1">0.08*C11</f>
        <v>1.777172548</v>
      </c>
      <c r="F11" s="43">
        <f t="shared" si="1"/>
        <v>3.2594464240000001</v>
      </c>
    </row>
    <row r="12" spans="1:6">
      <c r="A12" s="10">
        <v>6</v>
      </c>
      <c r="B12" s="10" t="s">
        <v>83</v>
      </c>
      <c r="C12" s="43">
        <v>9422.3470960000013</v>
      </c>
      <c r="D12" s="43">
        <v>4693.4391323</v>
      </c>
      <c r="E12" s="43">
        <f t="shared" si="1"/>
        <v>753.78776768000012</v>
      </c>
      <c r="F12" s="43">
        <f t="shared" si="1"/>
        <v>375.475130584</v>
      </c>
    </row>
    <row r="13" spans="1:6">
      <c r="A13" s="10">
        <v>7</v>
      </c>
      <c r="B13" s="10" t="s">
        <v>188</v>
      </c>
      <c r="C13" s="43">
        <f>C12</f>
        <v>9422.3470960000013</v>
      </c>
      <c r="D13" s="43">
        <f>D12</f>
        <v>4693.4391323</v>
      </c>
      <c r="E13" s="43">
        <f t="shared" si="1"/>
        <v>753.78776768000012</v>
      </c>
      <c r="F13" s="43">
        <f t="shared" si="1"/>
        <v>375.475130584</v>
      </c>
    </row>
    <row r="14" spans="1:6">
      <c r="A14" s="10">
        <v>8</v>
      </c>
      <c r="B14" s="10" t="s">
        <v>94</v>
      </c>
      <c r="C14" s="43">
        <v>109545.10778103913</v>
      </c>
      <c r="D14" s="43">
        <v>91575.335743699994</v>
      </c>
      <c r="E14" s="43">
        <f t="shared" si="1"/>
        <v>8763.6086224831306</v>
      </c>
      <c r="F14" s="43">
        <f t="shared" si="1"/>
        <v>7326.0268594959998</v>
      </c>
    </row>
    <row r="15" spans="1:6">
      <c r="A15" s="10">
        <v>9</v>
      </c>
      <c r="B15" s="10" t="s">
        <v>189</v>
      </c>
      <c r="C15" s="43">
        <f>C14</f>
        <v>109545.10778103913</v>
      </c>
      <c r="D15" s="43">
        <f>D14</f>
        <v>91575.335743699994</v>
      </c>
      <c r="E15" s="43">
        <f>E14</f>
        <v>8763.6086224831306</v>
      </c>
      <c r="F15" s="43">
        <f>F14</f>
        <v>7326.0268594959998</v>
      </c>
    </row>
    <row r="16" spans="1:6">
      <c r="A16" s="10">
        <v>10</v>
      </c>
      <c r="B16" s="10" t="s">
        <v>190</v>
      </c>
      <c r="C16" s="43">
        <v>1469291.2876509284</v>
      </c>
      <c r="D16" s="43">
        <v>884093</v>
      </c>
      <c r="E16" s="43">
        <v>216047.21090279426</v>
      </c>
      <c r="F16" s="43">
        <f>0.08*D16</f>
        <v>70727.44</v>
      </c>
    </row>
    <row r="18" spans="1:6">
      <c r="A18" s="10"/>
      <c r="B18" s="10"/>
      <c r="C18" s="43"/>
      <c r="D18" s="43"/>
      <c r="E18" s="43"/>
      <c r="F18" s="43"/>
    </row>
    <row r="19" spans="1:6">
      <c r="A19" s="10"/>
      <c r="B19" s="10"/>
      <c r="C19" s="43"/>
      <c r="D19" s="43"/>
      <c r="E19" s="43"/>
      <c r="F19" s="43"/>
    </row>
    <row r="20" spans="1:6">
      <c r="A20" s="10"/>
      <c r="B20" s="10"/>
      <c r="C20" s="43"/>
      <c r="D20" s="43"/>
      <c r="E20" s="43"/>
      <c r="F20" s="43"/>
    </row>
    <row r="21" spans="1:6">
      <c r="A21" s="10"/>
      <c r="B21" s="10"/>
      <c r="C21" s="43"/>
      <c r="D21" s="43"/>
      <c r="E21" s="43"/>
      <c r="F21" s="43"/>
    </row>
    <row r="22" spans="1:6">
      <c r="A22" s="10"/>
      <c r="B22" s="10"/>
      <c r="C22" s="43"/>
      <c r="D22" s="43"/>
      <c r="E22" s="43"/>
      <c r="F22" s="43"/>
    </row>
    <row r="23" spans="1:6">
      <c r="A23" s="10"/>
      <c r="B23" s="10"/>
      <c r="C23" s="43"/>
      <c r="D23" s="43"/>
      <c r="E23" s="43"/>
      <c r="F23" s="43"/>
    </row>
    <row r="24" spans="1:6">
      <c r="A24" s="10"/>
      <c r="B24" s="10"/>
      <c r="C24" s="43"/>
      <c r="D24" s="43"/>
      <c r="E24" s="43"/>
      <c r="F24" s="43"/>
    </row>
    <row r="25" spans="1:6">
      <c r="A25" s="10"/>
      <c r="B25" s="10"/>
      <c r="C25" s="43"/>
      <c r="D25" s="43"/>
      <c r="E25" s="43"/>
      <c r="F25" s="43"/>
    </row>
    <row r="26" spans="1:6">
      <c r="A26" s="10"/>
      <c r="B26" s="10"/>
      <c r="C26" s="43"/>
      <c r="D26" s="43"/>
      <c r="E26" s="43"/>
      <c r="F26" s="43"/>
    </row>
    <row r="27" spans="1:6">
      <c r="A27" s="10"/>
      <c r="B27" s="10"/>
      <c r="C27" s="43"/>
      <c r="D27" s="43"/>
      <c r="E27" s="43"/>
      <c r="F27" s="43"/>
    </row>
    <row r="28" spans="1:6">
      <c r="A28" s="10"/>
      <c r="B28" s="10"/>
      <c r="C28" s="43"/>
      <c r="D28" s="43"/>
      <c r="E28" s="43"/>
      <c r="F28" s="43"/>
    </row>
    <row r="29" spans="1:6">
      <c r="A29" s="10"/>
      <c r="B29" s="10"/>
      <c r="C29" s="43"/>
      <c r="D29" s="43"/>
      <c r="E29" s="43"/>
      <c r="F29" s="43"/>
    </row>
    <row r="30" spans="1:6">
      <c r="A30" s="10"/>
      <c r="B30" s="10"/>
      <c r="C30" s="43"/>
      <c r="D30" s="43"/>
      <c r="E30" s="43"/>
      <c r="F30" s="43"/>
    </row>
    <row r="31" spans="1:6">
      <c r="A31" s="10"/>
      <c r="B31" s="10"/>
      <c r="C31" s="43"/>
      <c r="D31" s="43"/>
      <c r="E31" s="43"/>
      <c r="F31" s="43"/>
    </row>
    <row r="32" spans="1:6">
      <c r="A32" s="10"/>
      <c r="B32" s="10"/>
      <c r="C32" s="43"/>
      <c r="D32" s="43"/>
      <c r="E32" s="43"/>
      <c r="F32" s="43"/>
    </row>
    <row r="33" spans="1:6">
      <c r="A33" s="10"/>
      <c r="B33" s="10"/>
      <c r="C33" s="43"/>
      <c r="D33" s="43"/>
      <c r="E33" s="43"/>
      <c r="F33" s="43"/>
    </row>
    <row r="34" spans="1:6">
      <c r="A34" s="10"/>
      <c r="B34" s="10"/>
      <c r="C34" s="43"/>
      <c r="D34" s="43"/>
      <c r="E34" s="43"/>
      <c r="F34" s="43"/>
    </row>
    <row r="35" spans="1:6">
      <c r="A35" s="10"/>
      <c r="B35" s="10"/>
      <c r="C35" s="43"/>
      <c r="D35" s="43"/>
      <c r="E35" s="43"/>
      <c r="F35" s="43"/>
    </row>
    <row r="36" spans="1:6">
      <c r="A36" s="10"/>
      <c r="B36" s="10"/>
      <c r="C36" s="43"/>
      <c r="D36" s="43"/>
      <c r="E36" s="43"/>
      <c r="F36" s="43"/>
    </row>
    <row r="37" spans="1:6">
      <c r="A37" s="10"/>
      <c r="B37" s="10"/>
      <c r="C37" s="43"/>
      <c r="D37" s="43"/>
      <c r="E37" s="43"/>
      <c r="F37" s="43"/>
    </row>
    <row r="38" spans="1:6">
      <c r="A38" s="10"/>
      <c r="B38" s="10"/>
      <c r="C38" s="43"/>
      <c r="D38" s="43"/>
      <c r="E38" s="43"/>
      <c r="F38" s="43"/>
    </row>
    <row r="39" spans="1:6">
      <c r="A39" s="10"/>
      <c r="B39" s="10"/>
      <c r="C39" s="43"/>
      <c r="D39" s="43"/>
      <c r="E39" s="43"/>
      <c r="F39" s="43"/>
    </row>
    <row r="40" spans="1:6">
      <c r="A40" s="10"/>
      <c r="B40" s="10"/>
      <c r="C40" s="43"/>
      <c r="D40" s="43"/>
      <c r="E40" s="43"/>
      <c r="F40" s="4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84</vt:i4>
      </vt:variant>
      <vt:variant>
        <vt:lpstr>Named Ranges</vt:lpstr>
      </vt:variant>
      <vt:variant>
        <vt:i4>3</vt:i4>
      </vt:variant>
    </vt:vector>
  </HeadingPairs>
  <TitlesOfParts>
    <vt:vector size="87" baseType="lpstr">
      <vt:lpstr>Key metric</vt:lpstr>
      <vt:lpstr>Content</vt:lpstr>
      <vt:lpstr>Capital position -&gt;</vt:lpstr>
      <vt:lpstr>1</vt:lpstr>
      <vt:lpstr>2</vt:lpstr>
      <vt:lpstr>3</vt:lpstr>
      <vt:lpstr>4</vt:lpstr>
      <vt:lpstr>5</vt:lpstr>
      <vt:lpstr>6</vt:lpstr>
      <vt:lpstr>Credit risk -&gt;</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CCR-&gt;</vt:lpstr>
      <vt:lpstr>33</vt:lpstr>
      <vt:lpstr>34</vt:lpstr>
      <vt:lpstr>35</vt:lpstr>
      <vt:lpstr>36</vt:lpstr>
      <vt:lpstr>37</vt:lpstr>
      <vt:lpstr>38</vt:lpstr>
      <vt:lpstr>39</vt:lpstr>
      <vt:lpstr>40</vt:lpstr>
      <vt:lpstr>41</vt:lpstr>
      <vt:lpstr>42</vt:lpstr>
      <vt:lpstr>Securitsation</vt:lpstr>
      <vt:lpstr>43</vt:lpstr>
      <vt:lpstr>MR-&gt;</vt:lpstr>
      <vt:lpstr>44</vt:lpstr>
      <vt:lpstr>45</vt:lpstr>
      <vt:lpstr>46</vt:lpstr>
      <vt:lpstr>47</vt:lpstr>
      <vt:lpstr>48</vt:lpstr>
      <vt:lpstr>49</vt:lpstr>
      <vt:lpstr>50</vt:lpstr>
      <vt:lpstr>51</vt:lpstr>
      <vt:lpstr>52</vt:lpstr>
      <vt:lpstr>53</vt:lpstr>
      <vt:lpstr>Operational risk</vt:lpstr>
      <vt:lpstr>54</vt:lpstr>
      <vt:lpstr>Liquidity</vt:lpstr>
      <vt:lpstr>55</vt:lpstr>
      <vt:lpstr>56</vt:lpstr>
      <vt:lpstr>57</vt:lpstr>
      <vt:lpstr>58</vt:lpstr>
      <vt:lpstr>59</vt:lpstr>
      <vt:lpstr>60</vt:lpstr>
      <vt:lpstr>61</vt:lpstr>
      <vt:lpstr>62</vt:lpstr>
      <vt:lpstr>63</vt:lpstr>
      <vt:lpstr>64</vt:lpstr>
      <vt:lpstr>65</vt:lpstr>
      <vt:lpstr>Other</vt:lpstr>
      <vt:lpstr>66</vt:lpstr>
      <vt:lpstr>67</vt:lpstr>
      <vt:lpstr>68</vt:lpstr>
      <vt:lpstr>69</vt:lpstr>
      <vt:lpstr>70</vt:lpstr>
      <vt:lpstr>71</vt:lpstr>
      <vt:lpstr>72</vt:lpstr>
      <vt:lpstr>73</vt:lpstr>
      <vt:lpstr>74</vt:lpstr>
      <vt:lpstr>'2'!Print_Area</vt:lpstr>
      <vt:lpstr>'3'!Print_Area</vt:lpstr>
      <vt:lpstr>'56'!Print_Area</vt:lpstr>
    </vt:vector>
  </TitlesOfParts>
  <Company>AS LHV PANK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Vitaly Rybakov</dc:creator>
  <cp:lastModifiedBy>Vitaly Rybakov</cp:lastModifiedBy>
  <dcterms:created xsi:type="dcterms:W3CDTF">2020-03-12T12:34:37Z</dcterms:created>
  <dcterms:modified xsi:type="dcterms:W3CDTF">2020-03-31T13:49:36Z</dcterms:modified>
</cp:coreProperties>
</file>